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Problema directo" sheetId="1" r:id="rId1"/>
    <sheet name="Problema inverso" sheetId="2" r:id="rId2"/>
  </sheets>
  <definedNames/>
  <calcPr fullCalcOnLoad="1"/>
</workbook>
</file>

<file path=xl/sharedStrings.xml><?xml version="1.0" encoding="utf-8"?>
<sst xmlns="http://schemas.openxmlformats.org/spreadsheetml/2006/main" count="117" uniqueCount="73">
  <si>
    <t>Lat A</t>
  </si>
  <si>
    <t>Lon A</t>
  </si>
  <si>
    <t>Wa</t>
  </si>
  <si>
    <t>Lat B</t>
  </si>
  <si>
    <t>a</t>
  </si>
  <si>
    <t>e2</t>
  </si>
  <si>
    <t>1-e2</t>
  </si>
  <si>
    <t>Na</t>
  </si>
  <si>
    <t>f</t>
  </si>
  <si>
    <t>Zab</t>
  </si>
  <si>
    <t>s</t>
  </si>
  <si>
    <t>ro a</t>
  </si>
  <si>
    <t>Lon B</t>
  </si>
  <si>
    <t>Zba</t>
  </si>
  <si>
    <t>W</t>
  </si>
  <si>
    <t>N</t>
  </si>
  <si>
    <t>Wb</t>
  </si>
  <si>
    <t>Nb</t>
  </si>
  <si>
    <t>DL</t>
  </si>
  <si>
    <t>Elipsoide</t>
  </si>
  <si>
    <t>WGS84</t>
  </si>
  <si>
    <t>ED50</t>
  </si>
  <si>
    <t>e' 2</t>
  </si>
  <si>
    <t>Wa3</t>
  </si>
  <si>
    <t>Rz</t>
  </si>
  <si>
    <t>senZ</t>
  </si>
  <si>
    <t>cosZ</t>
  </si>
  <si>
    <t>xB</t>
  </si>
  <si>
    <t>yB</t>
  </si>
  <si>
    <t>zB</t>
  </si>
  <si>
    <t>XA</t>
  </si>
  <si>
    <t>YA</t>
  </si>
  <si>
    <t>ZA</t>
  </si>
  <si>
    <t>R11</t>
  </si>
  <si>
    <t>R12</t>
  </si>
  <si>
    <t>R13</t>
  </si>
  <si>
    <t>XB</t>
  </si>
  <si>
    <t>YB</t>
  </si>
  <si>
    <t>ZB</t>
  </si>
  <si>
    <t>R21</t>
  </si>
  <si>
    <t>R22</t>
  </si>
  <si>
    <t>R23</t>
  </si>
  <si>
    <t>R31</t>
  </si>
  <si>
    <t>R32</t>
  </si>
  <si>
    <t>R33</t>
  </si>
  <si>
    <t>PROBLEMA DIRECTO</t>
  </si>
  <si>
    <t>p</t>
  </si>
  <si>
    <t>tan fi</t>
  </si>
  <si>
    <t>fi</t>
  </si>
  <si>
    <t>Tan lon</t>
  </si>
  <si>
    <t>lon</t>
  </si>
  <si>
    <t>abs lon</t>
  </si>
  <si>
    <t>LON</t>
  </si>
  <si>
    <t>Sen Zb</t>
  </si>
  <si>
    <t>fi (rad)</t>
  </si>
  <si>
    <t>Zb</t>
  </si>
  <si>
    <t>Zb (rad)</t>
  </si>
  <si>
    <t>ZBA</t>
  </si>
  <si>
    <t>DZ</t>
  </si>
  <si>
    <t>PROBLEMA INVERSO</t>
  </si>
  <si>
    <t>XB-XA</t>
  </si>
  <si>
    <t>YB-YA</t>
  </si>
  <si>
    <t>ZB-ZA</t>
  </si>
  <si>
    <t xml:space="preserve"> e' 2</t>
  </si>
  <si>
    <t>Z apx</t>
  </si>
  <si>
    <t>Rza</t>
  </si>
  <si>
    <t>s (2)</t>
  </si>
  <si>
    <t>Zab (2)</t>
  </si>
  <si>
    <t>Rza (2)</t>
  </si>
  <si>
    <t>sen Zb</t>
  </si>
  <si>
    <t>Zbº</t>
  </si>
  <si>
    <t>Zb º</t>
  </si>
  <si>
    <t>Dz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</si>
</sst>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"/>
    <numFmt numFmtId="181" formatCode="0.0000000000"/>
    <numFmt numFmtId="182" formatCode="0.000"/>
    <numFmt numFmtId="183" formatCode="0.0"/>
    <numFmt numFmtId="184" formatCode="0.00000000000"/>
    <numFmt numFmtId="185" formatCode="0.000000000"/>
    <numFmt numFmtId="186" formatCode="0.0000"/>
    <numFmt numFmtId="187" formatCode="0.000000000000000"/>
    <numFmt numFmtId="188" formatCode="0.00000"/>
    <numFmt numFmtId="189" formatCode="0.0000000"/>
    <numFmt numFmtId="190" formatCode="0.00000000"/>
    <numFmt numFmtId="191" formatCode="0.000000000000"/>
    <numFmt numFmtId="192" formatCode="0.0000000000000"/>
    <numFmt numFmtId="193" formatCode="0.00000000000000"/>
    <numFmt numFmtId="194" formatCode="#,##0.000"/>
    <numFmt numFmtId="195" formatCode="#,##0.0000"/>
    <numFmt numFmtId="196" formatCode="#,##0.00000"/>
  </numFmts>
  <fonts count="16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b/>
      <i/>
      <sz val="10"/>
      <color indexed="17"/>
      <name val="Arial"/>
      <family val="0"/>
    </font>
    <font>
      <b/>
      <i/>
      <sz val="10"/>
      <color indexed="17"/>
      <name val="GreekS"/>
      <family val="0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Fill="1" applyAlignment="1">
      <alignment/>
    </xf>
    <xf numFmtId="1" fontId="1" fillId="2" borderId="1" xfId="0" applyNumberFormat="1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180" fontId="4" fillId="0" borderId="0" xfId="0" applyNumberFormat="1" applyFont="1" applyAlignment="1">
      <alignment horizontal="right"/>
    </xf>
    <xf numFmtId="180" fontId="4" fillId="2" borderId="2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/>
    </xf>
    <xf numFmtId="180" fontId="3" fillId="0" borderId="0" xfId="0" applyNumberFormat="1" applyFont="1" applyAlignment="1" applyProtection="1">
      <alignment/>
      <protection hidden="1"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hidden="1" locked="0"/>
    </xf>
    <xf numFmtId="180" fontId="4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180" fontId="9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81" fontId="3" fillId="0" borderId="0" xfId="0" applyNumberFormat="1" applyFont="1" applyAlignment="1" applyProtection="1">
      <alignment/>
      <protection hidden="1" locked="0"/>
    </xf>
    <xf numFmtId="180" fontId="2" fillId="0" borderId="0" xfId="0" applyNumberFormat="1" applyFont="1" applyAlignment="1">
      <alignment/>
    </xf>
    <xf numFmtId="180" fontId="10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10" fillId="0" borderId="0" xfId="0" applyNumberFormat="1" applyFont="1" applyAlignment="1">
      <alignment/>
    </xf>
    <xf numFmtId="181" fontId="12" fillId="0" borderId="0" xfId="0" applyNumberFormat="1" applyFont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 horizontal="right"/>
    </xf>
    <xf numFmtId="180" fontId="1" fillId="0" borderId="0" xfId="0" applyNumberFormat="1" applyFont="1" applyAlignment="1">
      <alignment horizontal="right"/>
    </xf>
    <xf numFmtId="0" fontId="1" fillId="2" borderId="3" xfId="0" applyNumberFormat="1" applyFont="1" applyFill="1" applyBorder="1" applyAlignment="1">
      <alignment/>
    </xf>
    <xf numFmtId="188" fontId="1" fillId="2" borderId="4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hidden="1" locked="0"/>
    </xf>
    <xf numFmtId="180" fontId="3" fillId="0" borderId="0" xfId="0" applyNumberFormat="1" applyFont="1" applyFill="1" applyBorder="1" applyAlignment="1" applyProtection="1">
      <alignment/>
      <protection hidden="1" locked="0"/>
    </xf>
    <xf numFmtId="18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1" fontId="1" fillId="2" borderId="3" xfId="0" applyNumberFormat="1" applyFont="1" applyFill="1" applyBorder="1" applyAlignment="1">
      <alignment/>
    </xf>
    <xf numFmtId="181" fontId="3" fillId="0" borderId="0" xfId="0" applyNumberFormat="1" applyFont="1" applyAlignment="1">
      <alignment/>
    </xf>
    <xf numFmtId="0" fontId="13" fillId="0" borderId="0" xfId="0" applyFont="1" applyAlignment="1">
      <alignment/>
    </xf>
    <xf numFmtId="180" fontId="7" fillId="0" borderId="0" xfId="0" applyNumberFormat="1" applyFont="1" applyAlignment="1">
      <alignment/>
    </xf>
    <xf numFmtId="189" fontId="0" fillId="0" borderId="0" xfId="0" applyNumberFormat="1" applyAlignment="1">
      <alignment/>
    </xf>
    <xf numFmtId="184" fontId="0" fillId="0" borderId="0" xfId="0" applyNumberFormat="1" applyAlignment="1">
      <alignment/>
    </xf>
    <xf numFmtId="180" fontId="14" fillId="0" borderId="2" xfId="0" applyNumberFormat="1" applyFont="1" applyBorder="1" applyAlignment="1">
      <alignment/>
    </xf>
    <xf numFmtId="180" fontId="14" fillId="0" borderId="2" xfId="0" applyNumberFormat="1" applyFont="1" applyFill="1" applyBorder="1" applyAlignment="1">
      <alignment/>
    </xf>
    <xf numFmtId="1" fontId="14" fillId="0" borderId="1" xfId="0" applyNumberFormat="1" applyFont="1" applyFill="1" applyBorder="1" applyAlignment="1">
      <alignment/>
    </xf>
    <xf numFmtId="180" fontId="14" fillId="0" borderId="4" xfId="0" applyNumberFormat="1" applyFont="1" applyFill="1" applyBorder="1" applyAlignment="1">
      <alignment/>
    </xf>
    <xf numFmtId="186" fontId="1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90" fontId="0" fillId="0" borderId="0" xfId="0" applyNumberFormat="1" applyFill="1" applyBorder="1" applyAlignment="1">
      <alignment/>
    </xf>
    <xf numFmtId="182" fontId="1" fillId="2" borderId="4" xfId="0" applyNumberFormat="1" applyFont="1" applyFill="1" applyBorder="1" applyAlignment="1">
      <alignment/>
    </xf>
    <xf numFmtId="194" fontId="2" fillId="0" borderId="0" xfId="0" applyNumberFormat="1" applyFont="1" applyFill="1" applyAlignment="1">
      <alignment/>
    </xf>
    <xf numFmtId="2" fontId="14" fillId="0" borderId="0" xfId="0" applyNumberFormat="1" applyFont="1" applyFill="1" applyBorder="1" applyAlignment="1">
      <alignment/>
    </xf>
    <xf numFmtId="181" fontId="14" fillId="0" borderId="2" xfId="0" applyNumberFormat="1" applyFont="1" applyFill="1" applyBorder="1" applyAlignment="1">
      <alignment/>
    </xf>
    <xf numFmtId="194" fontId="0" fillId="0" borderId="0" xfId="0" applyNumberFormat="1" applyAlignment="1">
      <alignment/>
    </xf>
    <xf numFmtId="194" fontId="0" fillId="0" borderId="0" xfId="0" applyNumberFormat="1" applyFont="1" applyAlignment="1">
      <alignment/>
    </xf>
    <xf numFmtId="181" fontId="0" fillId="0" borderId="0" xfId="0" applyNumberFormat="1" applyFont="1" applyFill="1" applyBorder="1" applyAlignment="1">
      <alignment/>
    </xf>
    <xf numFmtId="194" fontId="14" fillId="0" borderId="2" xfId="0" applyNumberFormat="1" applyFont="1" applyBorder="1" applyAlignment="1">
      <alignment/>
    </xf>
    <xf numFmtId="195" fontId="1" fillId="2" borderId="2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D26" sqref="D26"/>
    </sheetView>
  </sheetViews>
  <sheetFormatPr defaultColWidth="11.421875" defaultRowHeight="12.75"/>
  <cols>
    <col min="1" max="1" width="8.140625" style="0" customWidth="1"/>
    <col min="2" max="2" width="18.140625" style="1" customWidth="1"/>
    <col min="3" max="3" width="12.7109375" style="1" customWidth="1"/>
    <col min="4" max="4" width="14.7109375" style="1" customWidth="1"/>
    <col min="5" max="5" width="16.28125" style="3" bestFit="1" customWidth="1"/>
    <col min="6" max="6" width="19.00390625" style="1" customWidth="1"/>
    <col min="7" max="7" width="3.57421875" style="1" customWidth="1"/>
    <col min="8" max="8" width="12.421875" style="1" customWidth="1"/>
    <col min="9" max="9" width="14.00390625" style="1" customWidth="1"/>
    <col min="10" max="10" width="13.57421875" style="1" customWidth="1"/>
    <col min="11" max="11" width="18.8515625" style="1" customWidth="1"/>
    <col min="12" max="12" width="11.421875" style="1" customWidth="1"/>
  </cols>
  <sheetData>
    <row r="1" spans="2:12" s="12" customFormat="1" ht="20.25">
      <c r="B1" s="13"/>
      <c r="C1" s="14" t="s">
        <v>45</v>
      </c>
      <c r="D1" s="13"/>
      <c r="E1" s="15"/>
      <c r="F1" s="13"/>
      <c r="G1" s="13"/>
      <c r="H1" s="13"/>
      <c r="I1" s="13"/>
      <c r="J1" s="13"/>
      <c r="K1" s="13"/>
      <c r="L1" s="13"/>
    </row>
    <row r="3" spans="1:9" ht="12.75">
      <c r="A3" s="47" t="s">
        <v>19</v>
      </c>
      <c r="B3" s="1" t="s">
        <v>20</v>
      </c>
      <c r="C3" s="20" t="s">
        <v>0</v>
      </c>
      <c r="D3" s="5">
        <v>37</v>
      </c>
      <c r="E3" s="5">
        <v>0</v>
      </c>
      <c r="F3" s="4">
        <v>0</v>
      </c>
      <c r="G3" s="10" t="s">
        <v>15</v>
      </c>
      <c r="H3" s="6">
        <f>IF(G3="N",(((F3/60)+E3)/60+D3),-((((F3/60)+E3)/60)+D3))</f>
        <v>37</v>
      </c>
      <c r="I3" s="25">
        <f>H3*PI()/180</f>
        <v>0.6457718232379019</v>
      </c>
    </row>
    <row r="4" spans="3:9" ht="12.75">
      <c r="C4" s="20" t="s">
        <v>1</v>
      </c>
      <c r="D4" s="5">
        <v>5</v>
      </c>
      <c r="E4" s="5">
        <v>0</v>
      </c>
      <c r="F4" s="4">
        <v>0</v>
      </c>
      <c r="G4" s="10" t="s">
        <v>14</v>
      </c>
      <c r="H4" s="6">
        <f>IF(G4="E",(((F4/60)+E4)/60+D4),-(((F4/60)+E4)/60+D4))</f>
        <v>-5</v>
      </c>
      <c r="I4" s="25">
        <f>H4*PI()/180</f>
        <v>-0.08726646259971647</v>
      </c>
    </row>
    <row r="5" spans="3:9" ht="12.75">
      <c r="C5" s="20" t="s">
        <v>9</v>
      </c>
      <c r="D5" s="5">
        <v>135</v>
      </c>
      <c r="E5" s="5">
        <v>0</v>
      </c>
      <c r="F5" s="4">
        <v>0</v>
      </c>
      <c r="H5" s="6">
        <f>(((F5/60)+E5)/60+D5)</f>
        <v>135</v>
      </c>
      <c r="I5" s="25">
        <f>H5*PI()/180</f>
        <v>2.356194490192345</v>
      </c>
    </row>
    <row r="6" spans="3:8" ht="12.75">
      <c r="C6" s="20" t="s">
        <v>10</v>
      </c>
      <c r="D6" s="64">
        <v>50000</v>
      </c>
      <c r="E6" s="7"/>
      <c r="F6" s="4"/>
      <c r="H6" s="6"/>
    </row>
    <row r="7" ht="12.75">
      <c r="H7" s="22"/>
    </row>
    <row r="8" spans="1:10" ht="12.75">
      <c r="A8" s="18" t="s">
        <v>4</v>
      </c>
      <c r="B8" s="23">
        <f>IF(B3="WGS84",6378137,IF(B3="ED50",6378388,0))</f>
        <v>6378137</v>
      </c>
      <c r="C8" s="30" t="s">
        <v>30</v>
      </c>
      <c r="D8" s="68">
        <f>B15*COS(I3)*COS(I4)</f>
        <v>5080586.103862469</v>
      </c>
      <c r="E8" s="30" t="s">
        <v>36</v>
      </c>
      <c r="F8" s="68">
        <f>D8+B24*I8+B25*I9+B26*I10</f>
        <v>5104707.611577286</v>
      </c>
      <c r="H8" s="31" t="s">
        <v>33</v>
      </c>
      <c r="I8" s="3">
        <f>-SIN(I3)*COS(I4)</f>
        <v>-0.5995249352960316</v>
      </c>
      <c r="J8" s="3"/>
    </row>
    <row r="9" spans="1:12" ht="12.75">
      <c r="A9" s="18" t="s">
        <v>8</v>
      </c>
      <c r="B9" s="49">
        <f>IF(B3="WGS84",1/298.257223563,IF(B3="ED50",1/297,0))</f>
        <v>0.0033528106647474805</v>
      </c>
      <c r="C9" s="30" t="s">
        <v>31</v>
      </c>
      <c r="D9" s="68">
        <f>B15*COS(I3)*SIN(I4)</f>
        <v>-444493.6881553087</v>
      </c>
      <c r="E9" s="30" t="s">
        <v>37</v>
      </c>
      <c r="F9" s="67">
        <f>D9+B24*I11+B25*I12+B26*I13</f>
        <v>-411114.01932094456</v>
      </c>
      <c r="G9" s="2"/>
      <c r="H9" s="31" t="s">
        <v>34</v>
      </c>
      <c r="I9" s="3">
        <f>-SIN(I4)</f>
        <v>0.08715574274765817</v>
      </c>
      <c r="J9" s="3"/>
      <c r="L9" s="2"/>
    </row>
    <row r="10" spans="1:10" ht="12.75">
      <c r="A10" s="19" t="s">
        <v>5</v>
      </c>
      <c r="B10" s="24">
        <f>B9*(2-B9)</f>
        <v>0.0066943799901413165</v>
      </c>
      <c r="C10" s="30" t="s">
        <v>32</v>
      </c>
      <c r="D10" s="68">
        <f>B15*B11*SIN(I3)</f>
        <v>3817393.1603481644</v>
      </c>
      <c r="E10" s="30" t="s">
        <v>38</v>
      </c>
      <c r="F10" s="67">
        <f>D10+B24*I14+B25*I15+B26*I16</f>
        <v>3789039.364326876</v>
      </c>
      <c r="H10" s="31" t="s">
        <v>35</v>
      </c>
      <c r="I10" s="3">
        <f>-COS(I3)*COS(I4)</f>
        <v>-0.79559646081691</v>
      </c>
      <c r="J10" s="3"/>
    </row>
    <row r="11" spans="1:10" ht="12.75">
      <c r="A11" s="19" t="s">
        <v>6</v>
      </c>
      <c r="B11" s="24">
        <f>1-B10</f>
        <v>0.9933056200098587</v>
      </c>
      <c r="C11" s="1" t="s">
        <v>46</v>
      </c>
      <c r="D11" s="29">
        <f>SQRT(F8^2+F9^2)</f>
        <v>5121235.645484135</v>
      </c>
      <c r="E11" s="1" t="s">
        <v>47</v>
      </c>
      <c r="F11" s="1">
        <f>F10/B11/D11</f>
        <v>0.7448545325468038</v>
      </c>
      <c r="H11" s="31" t="s">
        <v>39</v>
      </c>
      <c r="I11" s="3">
        <f>-SIN(I3)*SIN(I4)</f>
        <v>0.05245163533951586</v>
      </c>
      <c r="J11" s="3"/>
    </row>
    <row r="12" spans="1:10" ht="12.75">
      <c r="A12" s="19" t="s">
        <v>22</v>
      </c>
      <c r="B12" s="24">
        <f>B10/B11</f>
        <v>0.006739496742276434</v>
      </c>
      <c r="E12" s="1" t="s">
        <v>54</v>
      </c>
      <c r="F12" s="1">
        <f>ATAN(F11)</f>
        <v>0.640199868101451</v>
      </c>
      <c r="H12" s="31" t="s">
        <v>40</v>
      </c>
      <c r="I12" s="3">
        <f>COS(I4)</f>
        <v>0.9961946980917455</v>
      </c>
      <c r="J12" s="3"/>
    </row>
    <row r="13" spans="1:11" ht="12.75">
      <c r="A13" s="19" t="s">
        <v>2</v>
      </c>
      <c r="B13" s="24">
        <f>SQRT(1-B10*POWER(SIN(H3*PI()/180),2))</f>
        <v>0.9987869745869675</v>
      </c>
      <c r="C13" s="1" t="s">
        <v>48</v>
      </c>
      <c r="D13" s="1">
        <f>DEGREES(F12)</f>
        <v>36.680750487045124</v>
      </c>
      <c r="E13" s="3">
        <f>(ABS(D13)-INT(ABS(D13)))*60</f>
        <v>40.84502922270744</v>
      </c>
      <c r="F13" s="3">
        <f>(ABS(E13)-INT(ABS(E13)))*60</f>
        <v>50.70175336244631</v>
      </c>
      <c r="H13" s="31" t="s">
        <v>41</v>
      </c>
      <c r="I13" s="3">
        <f>-COS(I3)*SIN(I4)</f>
        <v>0.06960567106282663</v>
      </c>
      <c r="J13" s="3"/>
      <c r="K13" s="3"/>
    </row>
    <row r="14" spans="1:11" ht="12.75">
      <c r="A14" s="19" t="s">
        <v>23</v>
      </c>
      <c r="B14" s="24">
        <f>POWER(B13,3)</f>
        <v>0.9963653362679777</v>
      </c>
      <c r="C14" s="9" t="s">
        <v>3</v>
      </c>
      <c r="D14" s="16">
        <f>INT(ABS(D13))</f>
        <v>36</v>
      </c>
      <c r="E14" s="8">
        <f>INT((D13-INT(D13))*60)</f>
        <v>40</v>
      </c>
      <c r="F14" s="42">
        <f>(E13-E14)*60</f>
        <v>50.70175336244631</v>
      </c>
      <c r="G14" s="11" t="str">
        <f>IF(D13&gt;0,"N","S")</f>
        <v>N</v>
      </c>
      <c r="H14" s="31" t="s">
        <v>42</v>
      </c>
      <c r="I14" s="3">
        <f>COS(I3)</f>
        <v>0.7986355100472928</v>
      </c>
      <c r="J14" s="3"/>
      <c r="K14" s="3"/>
    </row>
    <row r="15" spans="1:9" ht="12.75">
      <c r="A15" s="19" t="s">
        <v>7</v>
      </c>
      <c r="B15" s="67">
        <f>B8/B13</f>
        <v>6385883.238653145</v>
      </c>
      <c r="C15" s="1" t="s">
        <v>49</v>
      </c>
      <c r="D15" s="1">
        <f>F9/F8</f>
        <v>-0.08053625214273846</v>
      </c>
      <c r="F15" s="28"/>
      <c r="H15" s="31" t="s">
        <v>43</v>
      </c>
      <c r="I15" s="3">
        <f>0</f>
        <v>0</v>
      </c>
    </row>
    <row r="16" spans="1:12" ht="12.75">
      <c r="A16" s="19" t="s">
        <v>11</v>
      </c>
      <c r="B16" s="67">
        <f>B8*B11/POWER(B13,3)</f>
        <v>6358550.520257029</v>
      </c>
      <c r="C16" s="1" t="s">
        <v>50</v>
      </c>
      <c r="D16" s="1">
        <f>DEGREES(ATAN(D15))</f>
        <v>-4.604449550796408</v>
      </c>
      <c r="F16" s="28"/>
      <c r="H16" s="31" t="s">
        <v>44</v>
      </c>
      <c r="I16" s="3">
        <f>-SIN(I3)</f>
        <v>-0.6018150231520483</v>
      </c>
      <c r="J16" s="34"/>
      <c r="K16" s="35"/>
      <c r="L16" s="36"/>
    </row>
    <row r="17" spans="1:12" ht="12.75">
      <c r="A17" s="19" t="s">
        <v>25</v>
      </c>
      <c r="B17" s="17">
        <f>SIN(I5)</f>
        <v>0.7071067811865476</v>
      </c>
      <c r="C17" s="1" t="s">
        <v>51</v>
      </c>
      <c r="D17" s="1">
        <f>ABS(D16)</f>
        <v>4.604449550796408</v>
      </c>
      <c r="E17" s="1">
        <f>(ABS(D17)-INT(ABS(D17)))*60</f>
        <v>36.2669730477845</v>
      </c>
      <c r="F17" s="28"/>
      <c r="J17" s="34"/>
      <c r="K17" s="35"/>
      <c r="L17" s="36"/>
    </row>
    <row r="18" spans="1:12" ht="12.75">
      <c r="A18" s="19" t="s">
        <v>26</v>
      </c>
      <c r="B18" s="17">
        <f>COS(I5)</f>
        <v>-0.7071067811865475</v>
      </c>
      <c r="C18" s="9" t="s">
        <v>52</v>
      </c>
      <c r="D18" s="41">
        <f>INT(ABS(D17))</f>
        <v>4</v>
      </c>
      <c r="E18" s="8">
        <f>INT((D17-INT(D17))*60)</f>
        <v>36</v>
      </c>
      <c r="F18" s="42">
        <f>(E17-E18)*60</f>
        <v>16.01838286706979</v>
      </c>
      <c r="G18" s="11" t="str">
        <f>IF(D16&lt;0,"W","E")</f>
        <v>W</v>
      </c>
      <c r="H18" s="32"/>
      <c r="I18" s="33"/>
      <c r="J18" s="34"/>
      <c r="K18" s="35"/>
      <c r="L18" s="36"/>
    </row>
    <row r="19" spans="1:12" ht="12.75">
      <c r="A19" s="19" t="s">
        <v>24</v>
      </c>
      <c r="B19" s="67">
        <f>B15*B16/(B16*B17*B17+B15*B18*B18)</f>
        <v>6372187.569502638</v>
      </c>
      <c r="C19" s="1" t="s">
        <v>53</v>
      </c>
      <c r="D19" s="3">
        <f>B15*COS(I3)*SIN(I5)/B22/COS(F12)</f>
        <v>0.704173751491402</v>
      </c>
      <c r="H19" s="37"/>
      <c r="I19" s="37"/>
      <c r="J19" s="38"/>
      <c r="K19" s="37"/>
      <c r="L19" s="39"/>
    </row>
    <row r="20" spans="2:12" ht="12.75">
      <c r="B20" s="67"/>
      <c r="C20" s="1" t="s">
        <v>56</v>
      </c>
      <c r="D20" s="1">
        <f>ASIN(D19)</f>
        <v>0.7812587884032107</v>
      </c>
      <c r="G20" s="40"/>
      <c r="H20" s="37"/>
      <c r="I20" s="37"/>
      <c r="J20" s="37"/>
      <c r="K20" s="37"/>
      <c r="L20" s="39"/>
    </row>
    <row r="21" spans="1:12" ht="12.75">
      <c r="A21" s="19" t="s">
        <v>16</v>
      </c>
      <c r="B21" s="3">
        <f>SQRT(1-B10*(SIN(F12))^2)</f>
        <v>0.9988048950575237</v>
      </c>
      <c r="C21" s="1" t="s">
        <v>55</v>
      </c>
      <c r="D21" s="3">
        <f>DEGREES(D20)</f>
        <v>44.7628312830082</v>
      </c>
      <c r="G21" s="40"/>
      <c r="H21" s="37"/>
      <c r="I21" s="37"/>
      <c r="J21" s="38"/>
      <c r="K21" s="37"/>
      <c r="L21" s="39"/>
    </row>
    <row r="22" spans="1:12" ht="12.75">
      <c r="A22" s="18" t="s">
        <v>17</v>
      </c>
      <c r="B22" s="67">
        <f>B8/B21</f>
        <v>6385768.663691488</v>
      </c>
      <c r="C22" s="1" t="s">
        <v>71</v>
      </c>
      <c r="D22" s="69">
        <f>IF(D19&gt;0,IF(H5&lt;90,D21,180-D21),IF(H5&gt;270,360+D21,180-D21))</f>
        <v>135.2371687169918</v>
      </c>
      <c r="F22" s="3"/>
      <c r="G22" s="40"/>
      <c r="H22" s="32"/>
      <c r="I22" s="34"/>
      <c r="J22" s="34"/>
      <c r="K22" s="35"/>
      <c r="L22" s="36"/>
    </row>
    <row r="23" spans="3:12" ht="12.75">
      <c r="C23" s="1" t="s">
        <v>57</v>
      </c>
      <c r="D23" s="1">
        <f>IF(D22+180&gt;360,D22-180,D22+180)</f>
        <v>315.2371687169918</v>
      </c>
      <c r="E23" s="1">
        <f>(ABS(D23)-INT(ABS(D23)))*60</f>
        <v>14.230123019507346</v>
      </c>
      <c r="H23" s="37"/>
      <c r="I23" s="37"/>
      <c r="J23" s="38"/>
      <c r="K23" s="37"/>
      <c r="L23" s="37"/>
    </row>
    <row r="24" spans="1:12" ht="12.75">
      <c r="A24" s="26" t="s">
        <v>27</v>
      </c>
      <c r="B24" s="67">
        <f>D6*B18-D6*D6*D6*B18/6/B16/B19</f>
        <v>-35354.97548175332</v>
      </c>
      <c r="C24" s="9" t="s">
        <v>13</v>
      </c>
      <c r="D24" s="48">
        <f>INT(D23)</f>
        <v>315</v>
      </c>
      <c r="E24" s="8">
        <f>INT((D23-INT(D23))*60)</f>
        <v>14</v>
      </c>
      <c r="F24" s="63">
        <f>(E23-E24)*60</f>
        <v>13.807381170440749</v>
      </c>
      <c r="H24" s="37"/>
      <c r="I24" s="37"/>
      <c r="J24" s="38"/>
      <c r="K24" s="37"/>
      <c r="L24" s="37"/>
    </row>
    <row r="25" spans="1:12" ht="12.75">
      <c r="A25" s="26" t="s">
        <v>28</v>
      </c>
      <c r="B25" s="67">
        <f>D6*B17-D6*D6*D6*B17/6/B15/B19</f>
        <v>35354.97703793014</v>
      </c>
      <c r="C25" s="1" t="s">
        <v>58</v>
      </c>
      <c r="D25" s="1">
        <f>D21-H5</f>
        <v>-90.2371687169918</v>
      </c>
      <c r="H25" s="37"/>
      <c r="I25" s="37"/>
      <c r="J25" s="38"/>
      <c r="K25" s="37"/>
      <c r="L25" s="37"/>
    </row>
    <row r="26" spans="1:12" ht="16.5">
      <c r="A26" s="27" t="s">
        <v>29</v>
      </c>
      <c r="B26" s="67">
        <f>D6*D6/2/B19-D6*D6*D6*B12*SIN(2*I3)*B18/4/B19/B15</f>
        <v>196.16849059417908</v>
      </c>
      <c r="C26" s="1" t="s">
        <v>58</v>
      </c>
      <c r="D26" s="1">
        <f>IF(ABS(D25)&gt;360,IF(D25&lt;0,D25+360,D25-360),D25)</f>
        <v>-90.2371687169918</v>
      </c>
      <c r="E26" s="1">
        <f>(ABS(D26)-INT(ABS(D26)))*60</f>
        <v>14.230123019508198</v>
      </c>
      <c r="I26" s="34"/>
      <c r="J26" s="34"/>
      <c r="K26" s="35"/>
      <c r="L26" s="37"/>
    </row>
    <row r="27" spans="3:6" ht="12.75">
      <c r="C27" s="9" t="s">
        <v>58</v>
      </c>
      <c r="D27" s="48">
        <f>INT(ABS(D26))</f>
        <v>90</v>
      </c>
      <c r="E27" s="8">
        <f>INT((ABS(D26)-INT(ABS(D26)))*60)</f>
        <v>14</v>
      </c>
      <c r="F27" s="63">
        <f>(E26-E27)*60</f>
        <v>13.807381170491908</v>
      </c>
    </row>
    <row r="42" spans="1:9" ht="12.75">
      <c r="A42" s="43"/>
      <c r="B42" s="44"/>
      <c r="C42" s="37"/>
      <c r="D42" s="37"/>
      <c r="E42" s="38"/>
      <c r="F42" s="37"/>
      <c r="G42" s="37"/>
      <c r="H42" s="37"/>
      <c r="I42" s="37"/>
    </row>
    <row r="43" spans="1:9" ht="12.75">
      <c r="A43" s="43"/>
      <c r="B43" s="44"/>
      <c r="C43" s="37"/>
      <c r="D43" s="37"/>
      <c r="E43" s="38"/>
      <c r="F43" s="37"/>
      <c r="G43" s="37"/>
      <c r="H43" s="37"/>
      <c r="I43" s="37"/>
    </row>
    <row r="44" spans="1:10" ht="12.75">
      <c r="A44" s="43"/>
      <c r="B44" s="44"/>
      <c r="C44" s="32"/>
      <c r="D44" s="33"/>
      <c r="E44" s="34"/>
      <c r="F44" s="35"/>
      <c r="G44" s="36"/>
      <c r="H44" s="37"/>
      <c r="I44" s="37"/>
      <c r="J44" s="3"/>
    </row>
    <row r="45" spans="1:10" ht="12.75">
      <c r="A45" s="43"/>
      <c r="B45" s="44"/>
      <c r="C45" s="32"/>
      <c r="D45" s="33"/>
      <c r="E45" s="34"/>
      <c r="F45" s="35"/>
      <c r="G45" s="36"/>
      <c r="H45" s="32"/>
      <c r="I45" s="45"/>
      <c r="J45" s="3"/>
    </row>
    <row r="46" spans="1:10" ht="12.75">
      <c r="A46" s="43"/>
      <c r="B46" s="44"/>
      <c r="C46" s="37"/>
      <c r="D46" s="37"/>
      <c r="E46" s="38"/>
      <c r="F46" s="37"/>
      <c r="G46" s="39"/>
      <c r="H46" s="37"/>
      <c r="I46" s="37"/>
      <c r="J46" s="3"/>
    </row>
    <row r="47" spans="1:9" ht="12.75">
      <c r="A47" s="43"/>
      <c r="B47" s="44"/>
      <c r="C47" s="37"/>
      <c r="D47" s="37"/>
      <c r="E47" s="37"/>
      <c r="F47" s="37"/>
      <c r="G47" s="39"/>
      <c r="H47" s="37"/>
      <c r="I47" s="37"/>
    </row>
    <row r="48" spans="1:9" ht="12.75">
      <c r="A48" s="43"/>
      <c r="B48" s="44"/>
      <c r="C48" s="37"/>
      <c r="D48" s="37"/>
      <c r="E48" s="38"/>
      <c r="F48" s="37"/>
      <c r="G48" s="39"/>
      <c r="H48" s="37"/>
      <c r="I48" s="37"/>
    </row>
    <row r="49" spans="1:9" ht="12.75">
      <c r="A49" s="46"/>
      <c r="B49" s="37"/>
      <c r="C49" s="32"/>
      <c r="D49" s="34"/>
      <c r="E49" s="34"/>
      <c r="F49" s="35"/>
      <c r="G49" s="36"/>
      <c r="H49" s="37"/>
      <c r="I49" s="37"/>
    </row>
    <row r="50" spans="1:9" ht="12.75">
      <c r="A50" s="46"/>
      <c r="B50" s="37"/>
      <c r="C50" s="37"/>
      <c r="D50" s="37"/>
      <c r="E50" s="38"/>
      <c r="F50" s="37"/>
      <c r="G50" s="37"/>
      <c r="H50" s="37"/>
      <c r="I50" s="37"/>
    </row>
    <row r="51" spans="1:9" ht="12.75">
      <c r="A51" s="46"/>
      <c r="B51" s="37"/>
      <c r="C51" s="37"/>
      <c r="D51" s="37"/>
      <c r="E51" s="38"/>
      <c r="F51" s="37"/>
      <c r="G51" s="37"/>
      <c r="H51" s="37"/>
      <c r="I51" s="37"/>
    </row>
    <row r="52" spans="1:9" ht="12.75">
      <c r="A52" s="46"/>
      <c r="B52" s="37"/>
      <c r="C52" s="37"/>
      <c r="D52" s="37"/>
      <c r="E52" s="38"/>
      <c r="F52" s="37"/>
      <c r="G52" s="37"/>
      <c r="H52" s="37"/>
      <c r="I52" s="37"/>
    </row>
    <row r="53" spans="1:9" ht="12.75">
      <c r="A53" s="46"/>
      <c r="B53" s="37"/>
      <c r="C53" s="32"/>
      <c r="D53" s="34"/>
      <c r="E53" s="34"/>
      <c r="F53" s="35"/>
      <c r="G53" s="37"/>
      <c r="H53" s="37"/>
      <c r="I53" s="37"/>
    </row>
    <row r="54" ht="12.75">
      <c r="A54" t="s">
        <v>20</v>
      </c>
    </row>
    <row r="55" ht="12.75">
      <c r="A55" t="s">
        <v>21</v>
      </c>
    </row>
  </sheetData>
  <dataValidations count="1">
    <dataValidation type="list" allowBlank="1" showInputMessage="1" showErrorMessage="1" sqref="B3">
      <formula1>A54:A55</formula1>
    </dataValidation>
  </dataValidations>
  <printOptions/>
  <pageMargins left="0.51" right="0.75" top="0.84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G7" sqref="G7"/>
    </sheetView>
  </sheetViews>
  <sheetFormatPr defaultColWidth="11.421875" defaultRowHeight="12.75"/>
  <cols>
    <col min="1" max="1" width="8.421875" style="0" customWidth="1"/>
    <col min="2" max="2" width="14.57421875" style="1" bestFit="1" customWidth="1"/>
    <col min="3" max="3" width="6.8515625" style="1" customWidth="1"/>
    <col min="4" max="4" width="17.140625" style="1" customWidth="1"/>
    <col min="5" max="5" width="13.00390625" style="1" customWidth="1"/>
    <col min="6" max="6" width="14.421875" style="3" customWidth="1"/>
    <col min="7" max="7" width="13.140625" style="1" bestFit="1" customWidth="1"/>
    <col min="8" max="8" width="4.421875" style="10" customWidth="1"/>
    <col min="9" max="9" width="13.57421875" style="1" customWidth="1"/>
    <col min="10" max="12" width="11.421875" style="1" customWidth="1"/>
  </cols>
  <sheetData>
    <row r="1" ht="20.25">
      <c r="D1" s="14" t="s">
        <v>59</v>
      </c>
    </row>
    <row r="3" spans="1:10" ht="12.75">
      <c r="A3" s="50" t="s">
        <v>19</v>
      </c>
      <c r="B3" s="1" t="s">
        <v>20</v>
      </c>
      <c r="D3" s="20" t="s">
        <v>0</v>
      </c>
      <c r="E3" s="5">
        <v>36</v>
      </c>
      <c r="F3" s="5">
        <v>26</v>
      </c>
      <c r="G3" s="4">
        <v>51.62</v>
      </c>
      <c r="H3" s="10" t="s">
        <v>15</v>
      </c>
      <c r="I3" s="6">
        <f>IF(H3="S",-((((G3/60)+F3)/60+E3)),(((G3/60)+F3)/60+E3))</f>
        <v>36.447672222222224</v>
      </c>
      <c r="J3" s="25">
        <f>I3*PI()/180</f>
        <v>0.6361318849654561</v>
      </c>
    </row>
    <row r="4" spans="4:10" ht="12.75">
      <c r="D4" s="20" t="s">
        <v>1</v>
      </c>
      <c r="E4" s="5">
        <v>6</v>
      </c>
      <c r="F4" s="5">
        <v>8</v>
      </c>
      <c r="G4" s="4">
        <v>35.4</v>
      </c>
      <c r="H4" s="10" t="s">
        <v>14</v>
      </c>
      <c r="I4" s="6">
        <f>IF(H4="W",-((((G4/60)+F4)/60+E4)),(((G4/60)+F4)/60+E4))</f>
        <v>-6.143166666666667</v>
      </c>
      <c r="J4" s="25">
        <f>I4*PI()/180</f>
        <v>-0.10721848483209832</v>
      </c>
    </row>
    <row r="5" spans="4:10" ht="12.75">
      <c r="D5" s="20" t="s">
        <v>3</v>
      </c>
      <c r="E5" s="5">
        <v>40</v>
      </c>
      <c r="F5" s="5">
        <v>25</v>
      </c>
      <c r="G5" s="4">
        <v>52.7</v>
      </c>
      <c r="H5" s="10" t="s">
        <v>15</v>
      </c>
      <c r="I5" s="6">
        <f>IF(H5="S",-((((G5/60)+F5)/60+E5)),(((G5/60)+F5)/60+E5))</f>
        <v>40.431305555555554</v>
      </c>
      <c r="J5" s="25">
        <f>I5*PI()/180</f>
        <v>0.7056594028243195</v>
      </c>
    </row>
    <row r="6" spans="1:10" ht="12.75">
      <c r="A6" s="18" t="s">
        <v>4</v>
      </c>
      <c r="B6" s="23">
        <f>IF(B3="WGS84",6378137,IF(B3="ED50",6378388,0))</f>
        <v>6378137</v>
      </c>
      <c r="D6" s="20" t="s">
        <v>12</v>
      </c>
      <c r="E6" s="5">
        <v>3</v>
      </c>
      <c r="F6" s="5">
        <v>40</v>
      </c>
      <c r="G6" s="4">
        <v>28.19</v>
      </c>
      <c r="H6" s="10" t="s">
        <v>14</v>
      </c>
      <c r="I6" s="6">
        <f>IF(H6="W",-((((G6/60)+F6)/60+E6)),(((G6/60)+F6)/60+E6))</f>
        <v>-3.674497222222222</v>
      </c>
      <c r="J6" s="25">
        <f>I6*PI()/180</f>
        <v>-0.06413207488316353</v>
      </c>
    </row>
    <row r="7" spans="1:7" ht="12.75">
      <c r="A7" s="18" t="s">
        <v>8</v>
      </c>
      <c r="B7" s="49">
        <f>IF(B3="WGS84",1/298.257223563,IF(B3="ED50",1/297,0))</f>
        <v>0.0033528106647474805</v>
      </c>
      <c r="G7" s="52"/>
    </row>
    <row r="8" spans="1:4" ht="12.75">
      <c r="A8" s="18" t="s">
        <v>5</v>
      </c>
      <c r="B8" s="3">
        <f>B7*(2-B7)</f>
        <v>0.0066943799901413165</v>
      </c>
      <c r="C8" s="51" t="s">
        <v>27</v>
      </c>
      <c r="D8" s="67">
        <f>-B23*SIN(J3)*COS(J4)-B24*SIN(J3)*SIN(J4)+B25*COS(J3)</f>
        <v>444527.2208488141</v>
      </c>
    </row>
    <row r="9" spans="1:4" ht="12.75">
      <c r="A9" s="18" t="s">
        <v>6</v>
      </c>
      <c r="B9" s="3">
        <f>1-B8</f>
        <v>0.9933056200098587</v>
      </c>
      <c r="C9" s="51" t="s">
        <v>28</v>
      </c>
      <c r="D9" s="67">
        <f>-B23*SIN(J4)+B24*COS(J4)</f>
        <v>209412.0821213099</v>
      </c>
    </row>
    <row r="10" spans="1:4" ht="12.75">
      <c r="A10" s="18" t="s">
        <v>63</v>
      </c>
      <c r="B10" s="3">
        <f>B8/B9</f>
        <v>0.006739496742276434</v>
      </c>
      <c r="C10" s="51" t="s">
        <v>29</v>
      </c>
      <c r="D10" s="67">
        <f>-B23*COS(J3)*COS(J4)-B24*COS(J3)*SIN(J4)-B25*SIN(J3)</f>
        <v>18997.723695103516</v>
      </c>
    </row>
    <row r="11" spans="1:4" ht="12.75">
      <c r="A11" s="18" t="s">
        <v>2</v>
      </c>
      <c r="B11" s="3">
        <f>SQRT(1-B8*POWER(SIN(I3*PI()/180),2))</f>
        <v>0.9988179407621821</v>
      </c>
      <c r="C11" s="1" t="s">
        <v>46</v>
      </c>
      <c r="D11" s="29">
        <f>D8^2+D9^2</f>
        <v>241457870213.95264</v>
      </c>
    </row>
    <row r="12" spans="1:2" ht="12.75">
      <c r="A12" s="18" t="s">
        <v>16</v>
      </c>
      <c r="B12" s="3">
        <f>SQRT(1-B8*POWER(SIN(I5*PI()/180),2))</f>
        <v>0.9985911834884321</v>
      </c>
    </row>
    <row r="13" spans="1:14" ht="12.75">
      <c r="A13" s="18" t="s">
        <v>7</v>
      </c>
      <c r="B13" s="67">
        <f>B6/B11</f>
        <v>6385685.258249311</v>
      </c>
      <c r="C13" s="1" t="s">
        <v>64</v>
      </c>
      <c r="D13" s="53">
        <f>ATAN(D9/D8)</f>
        <v>0.440252843066285</v>
      </c>
      <c r="E13" s="21">
        <f>DEGREES(D13)</f>
        <v>25.224629826333498</v>
      </c>
      <c r="F13" s="52">
        <f>(E13-D14)*60</f>
        <v>13.477789580009869</v>
      </c>
      <c r="I13" s="37"/>
      <c r="J13" s="37"/>
      <c r="K13" s="37"/>
      <c r="L13" s="37"/>
      <c r="M13" s="10"/>
      <c r="N13" s="1"/>
    </row>
    <row r="14" spans="1:14" ht="12.75">
      <c r="A14" s="18" t="s">
        <v>17</v>
      </c>
      <c r="B14" s="67">
        <f>B6/B12</f>
        <v>6387135.301674617</v>
      </c>
      <c r="C14" s="55" t="s">
        <v>9</v>
      </c>
      <c r="D14" s="56">
        <f>INT(E13)</f>
        <v>25</v>
      </c>
      <c r="E14" s="56">
        <f>INT(F13)</f>
        <v>13</v>
      </c>
      <c r="F14" s="57">
        <f>(F13-E14)*60</f>
        <v>28.667374800592142</v>
      </c>
      <c r="I14" s="37"/>
      <c r="J14" s="37"/>
      <c r="K14" s="38"/>
      <c r="L14" s="37"/>
      <c r="M14" s="10"/>
      <c r="N14" s="1"/>
    </row>
    <row r="15" spans="1:14" ht="12.75">
      <c r="A15" s="18" t="s">
        <v>11</v>
      </c>
      <c r="B15" s="67">
        <f>B6*B9/B11^3</f>
        <v>6357959.13955462</v>
      </c>
      <c r="C15" s="1" t="s">
        <v>65</v>
      </c>
      <c r="D15" s="67">
        <f>B13*B15/(B15*(SIN(D13))^2+B13*(COS(D13))^2)</f>
        <v>6362976.831735426</v>
      </c>
      <c r="E15" s="21"/>
      <c r="I15" s="37"/>
      <c r="J15" s="37"/>
      <c r="K15" s="37"/>
      <c r="L15" s="37"/>
      <c r="M15" s="10"/>
      <c r="N15" s="3">
        <f>(L15-J16)*60</f>
        <v>0</v>
      </c>
    </row>
    <row r="16" spans="1:14" ht="12.75">
      <c r="A16" s="18" t="s">
        <v>18</v>
      </c>
      <c r="B16" s="3">
        <f>I6-I4</f>
        <v>2.4686694444444446</v>
      </c>
      <c r="C16" s="54" t="s">
        <v>10</v>
      </c>
      <c r="D16" s="70">
        <f>SQRT(D11*(1+D11/3/D15/D15-(D11^2/36/D15/D15)*(COS(D13)*COS(D13)/B15^2+SIN(D13)*SIN(D13)/B13^2)))</f>
        <v>491871.5596284234</v>
      </c>
      <c r="E16" s="21"/>
      <c r="G16" s="21"/>
      <c r="I16" s="32"/>
      <c r="J16" s="34"/>
      <c r="K16" s="34"/>
      <c r="L16" s="32"/>
      <c r="M16" s="10"/>
      <c r="N16" s="1"/>
    </row>
    <row r="17" spans="1:14" ht="12.75">
      <c r="A17" s="18" t="s">
        <v>30</v>
      </c>
      <c r="B17" s="67">
        <f>B13*COS(J3)*COS(J4)</f>
        <v>5107147.116913345</v>
      </c>
      <c r="C17" s="1" t="s">
        <v>9</v>
      </c>
      <c r="D17" s="53">
        <f>ATAN(D9*B13*(6*D15*B15*D16-D16^3)/D8/B15/(6*D15*B13*D16-D16^3))</f>
        <v>0.4402511729529441</v>
      </c>
      <c r="E17" s="21">
        <f>DEGREES(D17)</f>
        <v>25.224534135887755</v>
      </c>
      <c r="F17" s="52">
        <f>(E17-D18)*60</f>
        <v>13.472048153265277</v>
      </c>
      <c r="I17" s="37"/>
      <c r="J17" s="37"/>
      <c r="K17" s="38"/>
      <c r="L17" s="37"/>
      <c r="M17" s="10"/>
      <c r="N17" s="1"/>
    </row>
    <row r="18" spans="1:14" ht="12.75">
      <c r="A18" s="18" t="s">
        <v>31</v>
      </c>
      <c r="B18" s="67">
        <f>B13*COS(J3)*SIN(J4)</f>
        <v>-549688.562318615</v>
      </c>
      <c r="C18" s="55" t="s">
        <v>9</v>
      </c>
      <c r="D18" s="56">
        <f>INT(E17)</f>
        <v>25</v>
      </c>
      <c r="E18" s="56">
        <f>INT(F17)</f>
        <v>13</v>
      </c>
      <c r="F18" s="57">
        <f>(F17-E18)*60</f>
        <v>28.322889195916616</v>
      </c>
      <c r="I18" s="37"/>
      <c r="J18" s="37"/>
      <c r="K18" s="38"/>
      <c r="L18" s="38"/>
      <c r="M18" s="10"/>
      <c r="N18" s="1"/>
    </row>
    <row r="19" spans="1:14" ht="12.75">
      <c r="A19" s="18" t="s">
        <v>32</v>
      </c>
      <c r="B19" s="67">
        <f>B13*B9*SIN(J3)</f>
        <v>3768265.216557356</v>
      </c>
      <c r="C19" s="1" t="s">
        <v>68</v>
      </c>
      <c r="D19" s="67">
        <f>B13*B15/(B15*(SIN(D17))^2+B13*(COS(D17))^2)</f>
        <v>6362976.796129804</v>
      </c>
      <c r="E19" s="21"/>
      <c r="I19" s="37"/>
      <c r="J19" s="37"/>
      <c r="K19" s="38"/>
      <c r="L19" s="60"/>
      <c r="M19" s="10"/>
      <c r="N19" s="1"/>
    </row>
    <row r="20" spans="1:14" ht="12.75">
      <c r="A20" s="18" t="s">
        <v>36</v>
      </c>
      <c r="B20" s="67">
        <f>B14*COS(J5)*COS(J6)</f>
        <v>4851791.0013939785</v>
      </c>
      <c r="C20" s="9" t="s">
        <v>66</v>
      </c>
      <c r="D20" s="71">
        <f>SQRT(D11*(1+D11/3/D19/D19-(D11^2/36/D19/D19)*(COS(D17)*COS(D17)/B15^2+SIN(D17)*SIN(D17)/B13^2)))</f>
        <v>491871.5596338787</v>
      </c>
      <c r="E20" s="21"/>
      <c r="G20" s="21"/>
      <c r="I20" s="37"/>
      <c r="J20" s="37"/>
      <c r="K20" s="59"/>
      <c r="L20" s="61"/>
      <c r="M20" s="10"/>
      <c r="N20" s="1"/>
    </row>
    <row r="21" spans="1:14" ht="12.75">
      <c r="A21" s="18" t="s">
        <v>37</v>
      </c>
      <c r="B21" s="67">
        <f>B14*COS(J5)*SIN(J6)</f>
        <v>-311582.7128981878</v>
      </c>
      <c r="C21" s="1" t="s">
        <v>67</v>
      </c>
      <c r="D21" s="53">
        <f>ATAN(D9*B13*(6*B15*D19*D20-D20^3)/D8/B15/(6*D19*B13*D20-D20^3))</f>
        <v>0.44025117295293464</v>
      </c>
      <c r="E21" s="21">
        <f>DEGREES(D21)</f>
        <v>25.224534135887215</v>
      </c>
      <c r="I21" s="37"/>
      <c r="J21" s="37"/>
      <c r="K21" s="62"/>
      <c r="L21" s="37"/>
      <c r="M21" s="10"/>
      <c r="N21" s="1"/>
    </row>
    <row r="22" spans="1:14" ht="12.75">
      <c r="A22" s="18" t="s">
        <v>38</v>
      </c>
      <c r="B22" s="67">
        <f>B14*B9*SIN(J5)</f>
        <v>4114556.484795793</v>
      </c>
      <c r="C22" s="1" t="s">
        <v>9</v>
      </c>
      <c r="D22" s="21">
        <f>IF(D8&gt;0,IF(D9&gt;0,E21,E21+360),IF(D9&gt;0,E21+180,E21+180))</f>
        <v>25.224534135887215</v>
      </c>
      <c r="E22" s="21">
        <f>(D22-D23)*60</f>
        <v>13.472048153232876</v>
      </c>
      <c r="I22" s="32"/>
      <c r="J22" s="34"/>
      <c r="K22" s="34"/>
      <c r="L22" s="32"/>
      <c r="M22" s="10"/>
      <c r="N22" s="1"/>
    </row>
    <row r="23" spans="1:6" ht="12.75">
      <c r="A23" s="18" t="s">
        <v>60</v>
      </c>
      <c r="B23" s="67">
        <f>B20-B17</f>
        <v>-255356.11551936623</v>
      </c>
      <c r="C23" s="9" t="s">
        <v>9</v>
      </c>
      <c r="D23" s="8">
        <f>INT(D22)</f>
        <v>25</v>
      </c>
      <c r="E23" s="8">
        <f>INT(E22)</f>
        <v>13</v>
      </c>
      <c r="F23" s="63">
        <f>(E22-E23)*60</f>
        <v>28.32288919397257</v>
      </c>
    </row>
    <row r="24" spans="1:6" ht="12.75">
      <c r="A24" s="18" t="s">
        <v>61</v>
      </c>
      <c r="B24" s="67">
        <f>B21-B18</f>
        <v>238105.84942042723</v>
      </c>
      <c r="C24" s="1" t="s">
        <v>69</v>
      </c>
      <c r="D24" s="53">
        <f>B13*(COS(J3)*SIN(D22*PI()/180))/B14/COS(J5)</f>
        <v>0.4502597779425385</v>
      </c>
      <c r="E24" s="1" t="s">
        <v>55</v>
      </c>
      <c r="F24" s="21">
        <f>ASIN(D24)</f>
        <v>0.46705625582379157</v>
      </c>
    </row>
    <row r="25" spans="1:4" ht="12.75">
      <c r="A25" s="18" t="s">
        <v>62</v>
      </c>
      <c r="B25" s="67">
        <f>B22-B19</f>
        <v>346291.2682384369</v>
      </c>
      <c r="C25" s="1" t="s">
        <v>70</v>
      </c>
      <c r="D25" s="3">
        <f>DEGREES(F24)</f>
        <v>26.760352253885735</v>
      </c>
    </row>
    <row r="26" spans="3:6" ht="12.75">
      <c r="C26" s="55" t="s">
        <v>55</v>
      </c>
      <c r="D26" s="66">
        <f>IF(D24&gt;0,IF(D22&lt;90,D25,180-D25),IF(D22&gt;270,360+D25,180-D25))</f>
        <v>26.760352253885735</v>
      </c>
      <c r="F26" s="65"/>
    </row>
    <row r="27" spans="3:5" ht="12.75">
      <c r="C27" s="1" t="s">
        <v>9</v>
      </c>
      <c r="D27" s="1">
        <f>IF(D26+180&gt;360,D26-180,D26+180)</f>
        <v>206.76035225388574</v>
      </c>
      <c r="E27" s="1">
        <f>(ABS(D27)-INT(ABS(D27)))*60</f>
        <v>45.621135233144514</v>
      </c>
    </row>
    <row r="28" spans="3:6" ht="12.75">
      <c r="C28" s="9" t="s">
        <v>13</v>
      </c>
      <c r="D28" s="8">
        <f>INT(D27)</f>
        <v>206</v>
      </c>
      <c r="E28" s="8">
        <f>INT(E27)</f>
        <v>45</v>
      </c>
      <c r="F28" s="63">
        <f>(E27-E28)*60</f>
        <v>37.26811398867085</v>
      </c>
    </row>
    <row r="29" spans="3:5" ht="12.75">
      <c r="C29" s="1" t="s">
        <v>58</v>
      </c>
      <c r="D29" s="1">
        <f>D26-D22</f>
        <v>1.5358181179985202</v>
      </c>
      <c r="E29" s="1">
        <f>(D29-D30)*60</f>
        <v>32.14908707991121</v>
      </c>
    </row>
    <row r="30" spans="3:6" ht="12.75">
      <c r="C30" s="9" t="s">
        <v>72</v>
      </c>
      <c r="D30" s="8">
        <f>INT(D29)</f>
        <v>1</v>
      </c>
      <c r="E30" s="8">
        <f>INT(E29)</f>
        <v>32</v>
      </c>
      <c r="F30" s="63">
        <f>(E29-E30)*60</f>
        <v>8.945224794672697</v>
      </c>
    </row>
    <row r="33" ht="12.75">
      <c r="A33" s="18"/>
    </row>
    <row r="34" ht="12.75">
      <c r="A34" s="18"/>
    </row>
    <row r="35" ht="12.75">
      <c r="A35" s="18"/>
    </row>
    <row r="36" ht="12.75">
      <c r="A36" s="18"/>
    </row>
    <row r="37" spans="1:8" ht="12.75">
      <c r="A37" s="18"/>
      <c r="E37" s="3"/>
      <c r="F37" s="1"/>
      <c r="G37" s="10"/>
      <c r="H37" s="1"/>
    </row>
    <row r="38" spans="1:8" ht="12.75">
      <c r="A38" s="18"/>
      <c r="E38" s="3"/>
      <c r="F38" s="1"/>
      <c r="G38" s="10"/>
      <c r="H38" s="1"/>
    </row>
    <row r="39" spans="1:8" ht="12.75">
      <c r="A39" s="18"/>
      <c r="E39" s="3"/>
      <c r="F39" s="1"/>
      <c r="G39" s="10"/>
      <c r="H39" s="1"/>
    </row>
    <row r="40" spans="1:8" ht="12.75">
      <c r="A40" s="18"/>
      <c r="C40" s="32"/>
      <c r="D40" s="58"/>
      <c r="E40" s="3"/>
      <c r="F40" s="1"/>
      <c r="G40" s="10"/>
      <c r="H40" s="1"/>
    </row>
    <row r="41" ht="12.75">
      <c r="A41" s="18"/>
    </row>
    <row r="43" ht="12.75">
      <c r="E43" s="2"/>
    </row>
    <row r="52" ht="12.75">
      <c r="A52" t="s">
        <v>20</v>
      </c>
    </row>
    <row r="53" ht="12.75">
      <c r="A53" t="s">
        <v>21</v>
      </c>
    </row>
  </sheetData>
  <dataValidations count="1">
    <dataValidation type="list" allowBlank="1" showInputMessage="1" showErrorMessage="1" sqref="B3">
      <formula1>A52:A53</formula1>
    </dataValidation>
  </dataValidations>
  <printOptions/>
  <pageMargins left="0.56" right="0.75" top="0.65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 Seccion</dc:creator>
  <cp:keywords/>
  <dc:description/>
  <cp:lastModifiedBy>JM</cp:lastModifiedBy>
  <cp:lastPrinted>2000-12-03T20:18:19Z</cp:lastPrinted>
  <dcterms:created xsi:type="dcterms:W3CDTF">2000-11-13T11:04:31Z</dcterms:created>
  <dcterms:modified xsi:type="dcterms:W3CDTF">2008-12-08T22:29:06Z</dcterms:modified>
  <cp:category/>
  <cp:version/>
  <cp:contentType/>
  <cp:contentStatus/>
</cp:coreProperties>
</file>