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eodésicas a UTM" sheetId="1" r:id="rId1"/>
    <sheet name="UTM a Geodésicas (1)" sheetId="2" r:id="rId2"/>
    <sheet name="UTM a Geodésicas (2)" sheetId="3" r:id="rId3"/>
  </sheets>
  <definedNames/>
  <calcPr fullCalcOnLoad="1"/>
</workbook>
</file>

<file path=xl/sharedStrings.xml><?xml version="1.0" encoding="utf-8"?>
<sst xmlns="http://schemas.openxmlformats.org/spreadsheetml/2006/main" count="192" uniqueCount="100">
  <si>
    <t>a=</t>
  </si>
  <si>
    <t>f=</t>
  </si>
  <si>
    <t>e2=</t>
  </si>
  <si>
    <t>N=</t>
  </si>
  <si>
    <t>nu=</t>
  </si>
  <si>
    <t>T1=</t>
  </si>
  <si>
    <t>T2=</t>
  </si>
  <si>
    <t>T3=</t>
  </si>
  <si>
    <t>cosfi=</t>
  </si>
  <si>
    <t>senfi=</t>
  </si>
  <si>
    <t>L0=</t>
  </si>
  <si>
    <t>DELTALON=</t>
  </si>
  <si>
    <t>X=</t>
  </si>
  <si>
    <t>BETA=</t>
  </si>
  <si>
    <t>C0=</t>
  </si>
  <si>
    <t>C2=</t>
  </si>
  <si>
    <t>C4=</t>
  </si>
  <si>
    <t>C6=</t>
  </si>
  <si>
    <t>C8=</t>
  </si>
  <si>
    <t>Y=</t>
  </si>
  <si>
    <t>N</t>
  </si>
  <si>
    <r>
      <t xml:space="preserve">       </t>
    </r>
    <r>
      <rPr>
        <b/>
        <u val="single"/>
        <sz val="16"/>
        <rFont val="Arial"/>
        <family val="2"/>
      </rPr>
      <t>TRANSFORMACIÓN DE GEODÉSICAS A UTM</t>
    </r>
  </si>
  <si>
    <t>tanfi=</t>
  </si>
  <si>
    <t>x=</t>
  </si>
  <si>
    <t>y=</t>
  </si>
  <si>
    <t>m</t>
  </si>
  <si>
    <t>Lat</t>
  </si>
  <si>
    <t>Lon</t>
  </si>
  <si>
    <t>ED50</t>
  </si>
  <si>
    <t>Beta_a=</t>
  </si>
  <si>
    <t>fi_a1=</t>
  </si>
  <si>
    <t>Beta_a1=</t>
  </si>
  <si>
    <t>fi_a2=</t>
  </si>
  <si>
    <t>Beta_a2=</t>
  </si>
  <si>
    <t>C0 x a(1-e2)=</t>
  </si>
  <si>
    <t>D1=</t>
  </si>
  <si>
    <t>D2=</t>
  </si>
  <si>
    <t>fi_a3=</t>
  </si>
  <si>
    <t>Beta_a3=</t>
  </si>
  <si>
    <t>a x (1-e2)=</t>
  </si>
  <si>
    <t>D3=</t>
  </si>
  <si>
    <t>fi_a4=</t>
  </si>
  <si>
    <t>Beta_a4=</t>
  </si>
  <si>
    <t>fi_a5=</t>
  </si>
  <si>
    <t>e' 2=</t>
  </si>
  <si>
    <t>nu2=</t>
  </si>
  <si>
    <t>b1=</t>
  </si>
  <si>
    <t>b2=</t>
  </si>
  <si>
    <t>b3=</t>
  </si>
  <si>
    <t>b5=</t>
  </si>
  <si>
    <t>K0=</t>
  </si>
  <si>
    <t>Dfi=</t>
  </si>
  <si>
    <t>LAT=</t>
  </si>
  <si>
    <t>b4=</t>
  </si>
  <si>
    <t>b6=</t>
  </si>
  <si>
    <t>Dlon=</t>
  </si>
  <si>
    <t>X =</t>
  </si>
  <si>
    <t>Y =</t>
  </si>
  <si>
    <t>Huso</t>
  </si>
  <si>
    <t>Elipsoide</t>
  </si>
  <si>
    <t>Lon0=</t>
  </si>
  <si>
    <t>LON=</t>
  </si>
  <si>
    <t>No hacen falta los de abajo</t>
  </si>
  <si>
    <t>TRANSFORMACIÓN DE UTM A GEODÉSICAS</t>
  </si>
  <si>
    <t>Huso Propu=</t>
  </si>
  <si>
    <t>Huso defint=</t>
  </si>
  <si>
    <t>Huso =</t>
  </si>
  <si>
    <t>WGS84</t>
  </si>
  <si>
    <t>Convergencia</t>
  </si>
  <si>
    <t>a1=</t>
  </si>
  <si>
    <t>a2=</t>
  </si>
  <si>
    <t>a3=</t>
  </si>
  <si>
    <t>a4=</t>
  </si>
  <si>
    <t>a5=</t>
  </si>
  <si>
    <t>a6=</t>
  </si>
  <si>
    <t>GAUSS</t>
  </si>
  <si>
    <t>(Greenwich)</t>
  </si>
  <si>
    <t>Modulo de deformación reducido=</t>
  </si>
  <si>
    <t>W</t>
  </si>
  <si>
    <t>Beta_a -Beta_a2=</t>
  </si>
  <si>
    <t>Beta_a -Beta_a3=</t>
  </si>
  <si>
    <t>Beta_a -Beta_a4=</t>
  </si>
  <si>
    <t>Beta_a -Beta_a5=</t>
  </si>
  <si>
    <t>Beta_a5=</t>
  </si>
  <si>
    <t>Beta_a -Beta_a1=</t>
  </si>
  <si>
    <t>D4=</t>
  </si>
  <si>
    <t>D5=</t>
  </si>
  <si>
    <t>F(y)=</t>
  </si>
  <si>
    <t>e=</t>
  </si>
  <si>
    <t>b1 . X1=</t>
  </si>
  <si>
    <t>b2 . X2=</t>
  </si>
  <si>
    <t>b3 . X3=</t>
  </si>
  <si>
    <t>b4 . X4=</t>
  </si>
  <si>
    <t>b5 . X5=</t>
  </si>
  <si>
    <t>b6 . X6=</t>
  </si>
  <si>
    <t>FI=</t>
  </si>
  <si>
    <t>FI-FI'=</t>
  </si>
  <si>
    <t>t1=</t>
  </si>
  <si>
    <t>t2=</t>
  </si>
  <si>
    <t>t3=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</si>
</sst>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000000"/>
    <numFmt numFmtId="181" formatCode="0.0000000000"/>
    <numFmt numFmtId="182" formatCode="0.00000000"/>
    <numFmt numFmtId="183" formatCode="0.000"/>
    <numFmt numFmtId="184" formatCode="0.0000"/>
    <numFmt numFmtId="185" formatCode="0.000000"/>
    <numFmt numFmtId="186" formatCode="0.00000"/>
    <numFmt numFmtId="187" formatCode="#,##0.000"/>
    <numFmt numFmtId="188" formatCode="0.000000000"/>
    <numFmt numFmtId="189" formatCode="0.0000000"/>
    <numFmt numFmtId="190" formatCode="0.00000000000"/>
    <numFmt numFmtId="191" formatCode="0.000000000000"/>
    <numFmt numFmtId="192" formatCode="0.0000000000000"/>
    <numFmt numFmtId="193" formatCode="0.0000E+00"/>
    <numFmt numFmtId="194" formatCode="0.00000E+00"/>
  </numFmts>
  <fonts count="49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5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5" fontId="1" fillId="0" borderId="0" xfId="0" applyNumberFormat="1" applyFont="1" applyAlignment="1">
      <alignment horizontal="right"/>
    </xf>
    <xf numFmtId="185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187" fontId="6" fillId="33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87" fontId="6" fillId="33" borderId="13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183" fontId="0" fillId="34" borderId="10" xfId="0" applyNumberFormat="1" applyFill="1" applyBorder="1" applyAlignment="1">
      <alignment/>
    </xf>
    <xf numFmtId="187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4" fontId="8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8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2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84" fontId="6" fillId="33" borderId="10" xfId="0" applyNumberFormat="1" applyFont="1" applyFill="1" applyBorder="1" applyAlignment="1">
      <alignment horizontal="center"/>
    </xf>
    <xf numFmtId="184" fontId="6" fillId="33" borderId="12" xfId="0" applyNumberFormat="1" applyFont="1" applyFill="1" applyBorder="1" applyAlignment="1">
      <alignment horizontal="center"/>
    </xf>
    <xf numFmtId="185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86" fontId="6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" fillId="33" borderId="10" xfId="0" applyNumberFormat="1" applyFont="1" applyFill="1" applyBorder="1" applyAlignment="1">
      <alignment horizontal="center"/>
    </xf>
    <xf numFmtId="187" fontId="0" fillId="34" borderId="10" xfId="0" applyNumberFormat="1" applyFill="1" applyBorder="1" applyAlignment="1">
      <alignment/>
    </xf>
    <xf numFmtId="0" fontId="10" fillId="0" borderId="0" xfId="0" applyFont="1" applyAlignment="1">
      <alignment/>
    </xf>
    <xf numFmtId="182" fontId="11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185" fontId="6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92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94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11.421875" style="11" customWidth="1"/>
    <col min="2" max="2" width="18.140625" style="2" customWidth="1"/>
    <col min="3" max="3" width="4.57421875" style="0" customWidth="1"/>
    <col min="4" max="5" width="4.421875" style="0" customWidth="1"/>
    <col min="6" max="6" width="9.57421875" style="7" customWidth="1"/>
    <col min="7" max="7" width="3.00390625" style="0" customWidth="1"/>
    <col min="8" max="8" width="12.421875" style="0" customWidth="1"/>
    <col min="9" max="9" width="12.7109375" style="0" customWidth="1"/>
    <col min="10" max="10" width="3.421875" style="0" customWidth="1"/>
    <col min="11" max="11" width="12.8515625" style="0" customWidth="1"/>
    <col min="12" max="12" width="3.57421875" style="39" customWidth="1"/>
    <col min="13" max="13" width="3.8515625" style="0" customWidth="1"/>
    <col min="14" max="14" width="4.140625" style="0" customWidth="1"/>
    <col min="15" max="15" width="6.421875" style="0" customWidth="1"/>
  </cols>
  <sheetData>
    <row r="1" ht="20.25">
      <c r="B1" s="9" t="s">
        <v>21</v>
      </c>
    </row>
    <row r="3" spans="1:9" ht="12.75">
      <c r="A3" s="30" t="s">
        <v>59</v>
      </c>
      <c r="B3" s="38" t="s">
        <v>28</v>
      </c>
      <c r="C3" s="3" t="s">
        <v>26</v>
      </c>
      <c r="D3" s="4">
        <v>36</v>
      </c>
      <c r="E3" s="4">
        <v>31</v>
      </c>
      <c r="F3" s="8">
        <v>22.7672</v>
      </c>
      <c r="G3" s="5" t="s">
        <v>20</v>
      </c>
      <c r="H3" s="6">
        <f>IF(G3="N",(((F3/60)+E3)/60+D3),-((((F3/60)+E3)/60)+D3))</f>
        <v>36.52299088888889</v>
      </c>
      <c r="I3">
        <f>H3*PI()/180</f>
        <v>0.6374464436870017</v>
      </c>
    </row>
    <row r="4" spans="3:9" ht="12.75">
      <c r="C4" s="3" t="s">
        <v>27</v>
      </c>
      <c r="D4" s="4">
        <v>6</v>
      </c>
      <c r="E4" s="4">
        <v>16</v>
      </c>
      <c r="F4" s="8">
        <v>58.0379</v>
      </c>
      <c r="G4" s="5" t="s">
        <v>78</v>
      </c>
      <c r="H4" s="6">
        <f>IF(G4="E",(((F4/60)+E4)/60+D4),-(((F4/60)+E4)/60+D4))</f>
        <v>-6.282788305555555</v>
      </c>
      <c r="I4">
        <f>H4*PI()/180</f>
        <v>-0.10965534213773999</v>
      </c>
    </row>
    <row r="6" spans="1:2" ht="12.75">
      <c r="A6" s="11" t="s">
        <v>9</v>
      </c>
      <c r="B6" s="2">
        <f>SIN(I3)</f>
        <v>0.5951452998520229</v>
      </c>
    </row>
    <row r="7" spans="1:2" ht="12.75">
      <c r="A7" s="11" t="s">
        <v>8</v>
      </c>
      <c r="B7" s="2">
        <f>COS(I3)</f>
        <v>0.8036181133250082</v>
      </c>
    </row>
    <row r="8" spans="1:2" ht="12.75">
      <c r="A8" s="11" t="s">
        <v>22</v>
      </c>
      <c r="B8" s="58">
        <f>TAN(I3)</f>
        <v>0.7405822367412562</v>
      </c>
    </row>
    <row r="9" spans="1:2" ht="12.75">
      <c r="A9" s="11" t="s">
        <v>0</v>
      </c>
      <c r="B9" s="10">
        <f>IF(B3="WGS84",6378137,IF(B3="ED50",6378388,0))</f>
        <v>6378388</v>
      </c>
    </row>
    <row r="10" spans="1:9" ht="12.75">
      <c r="A10" s="11" t="s">
        <v>1</v>
      </c>
      <c r="B10" s="2">
        <f>IF(B3="WGS84",1/298.257223563,IF(B3="ED50",1/297,0))</f>
        <v>0.003367003367003367</v>
      </c>
      <c r="I10" s="2"/>
    </row>
    <row r="11" spans="1:2" ht="12.75">
      <c r="A11" s="11" t="s">
        <v>2</v>
      </c>
      <c r="B11" s="57">
        <f>B10*(2-B10)</f>
        <v>0.006722670022333321</v>
      </c>
    </row>
    <row r="12" spans="1:2" ht="12.75">
      <c r="A12" s="11" t="s">
        <v>3</v>
      </c>
      <c r="B12" s="23">
        <f>B9/SQRT(1-B11*POWER(B6,2))</f>
        <v>6385995.556547353</v>
      </c>
    </row>
    <row r="13" spans="1:2" ht="12.75">
      <c r="A13" s="11" t="s">
        <v>4</v>
      </c>
      <c r="B13" s="58">
        <f>B7*SQRT(B11/(1-B11))</f>
        <v>0.06611276985159177</v>
      </c>
    </row>
    <row r="14" spans="1:2" ht="12.75">
      <c r="A14" s="11" t="s">
        <v>45</v>
      </c>
      <c r="B14" s="58">
        <f>B13^2</f>
        <v>0.004370898337449542</v>
      </c>
    </row>
    <row r="15" spans="1:2" ht="12.75">
      <c r="A15" s="11" t="s">
        <v>64</v>
      </c>
      <c r="B15" s="10">
        <f>IF(H4&gt;6,32,IF(H4&gt;0,31,IF(H4&gt;-6,30,IF(H4&gt;-12,29,IF(H4&gt;-18,28,27)))))</f>
        <v>29</v>
      </c>
    </row>
    <row r="16" spans="1:2" ht="12.75">
      <c r="A16" s="11" t="s">
        <v>65</v>
      </c>
      <c r="B16" s="10">
        <f>B15</f>
        <v>29</v>
      </c>
    </row>
    <row r="17" spans="1:2" ht="12.75">
      <c r="A17" s="11" t="s">
        <v>10</v>
      </c>
      <c r="B17" s="10">
        <f>IF(B16=31,3,IF(B16=30,-3,IF(B16=29,-9,IF(B16=28,-15,-21))))</f>
        <v>-9</v>
      </c>
    </row>
    <row r="18" spans="1:2" ht="12.75">
      <c r="A18" s="11" t="s">
        <v>11</v>
      </c>
      <c r="B18" s="1">
        <f>(H4-B17)*PI()/180</f>
        <v>0.04742429054174968</v>
      </c>
    </row>
    <row r="19" spans="1:8" ht="12.75">
      <c r="A19" s="11" t="s">
        <v>69</v>
      </c>
      <c r="B19" s="2">
        <f>B12*B7</f>
        <v>5131901.70085447</v>
      </c>
      <c r="F19" s="11" t="s">
        <v>14</v>
      </c>
      <c r="H19" s="1">
        <f>1+3/4*B11+45/64*B11*B11+175/256*B11*B11*B11+11025/16384*B11*B11*B11*B11</f>
        <v>1.0050739888216826</v>
      </c>
    </row>
    <row r="20" spans="1:8" ht="12.75">
      <c r="A20" s="11" t="s">
        <v>70</v>
      </c>
      <c r="B20" s="2">
        <f>-(1/FACT(2))*B12*B6*B7</f>
        <v>-1527113.58828307</v>
      </c>
      <c r="F20" s="11" t="s">
        <v>15</v>
      </c>
      <c r="H20" s="1">
        <f>3/4*B11+15/16*B11*B11+525/512*B11*B11*B11+2205/2048*B11*B11*B11*B11</f>
        <v>0.005084685905472651</v>
      </c>
    </row>
    <row r="21" spans="1:8" ht="12.75">
      <c r="A21" s="11" t="s">
        <v>71</v>
      </c>
      <c r="B21" s="2">
        <f>-(1/FACT(3))*B12*(POWER(B7,3))*(1-POWER(B8,2)+POWER(B13,2))</f>
        <v>-251828.30046950778</v>
      </c>
      <c r="F21" s="11" t="s">
        <v>16</v>
      </c>
      <c r="H21" s="1">
        <f>15/64*B11*B11+105/256*B11*B11*B11+2205/4096*B11*B11*B11*B11</f>
        <v>1.071812805476217E-05</v>
      </c>
    </row>
    <row r="22" spans="1:12" ht="12.75">
      <c r="A22" s="11" t="s">
        <v>72</v>
      </c>
      <c r="B22" s="2">
        <f>(1/FACT(4))*B12*B6*(POWER(B7,3))*(5-POWER(B8,2)+9*POWER(B13,2)+4*POWER(B13,4))</f>
        <v>369086.3525209659</v>
      </c>
      <c r="F22" s="11" t="s">
        <v>17</v>
      </c>
      <c r="H22" s="1">
        <f>35/512*B11*B11*B11+315/2048*B11*B11*B11*B11</f>
        <v>2.108353465465564E-08</v>
      </c>
      <c r="K22" s="40" t="s">
        <v>66</v>
      </c>
      <c r="L22" s="41">
        <f>B16</f>
        <v>29</v>
      </c>
    </row>
    <row r="23" spans="1:8" ht="12.75">
      <c r="A23" s="11" t="s">
        <v>73</v>
      </c>
      <c r="B23" s="2">
        <f>(1/FACT(5))*B12*(POWER(B7,5))*(5-18*POWER(B8,2)+POWER(B8,4)+14*POWER(B13,2)-58*POWER(B13,2)*POWER(B8,2))</f>
        <v>-82925.61520663276</v>
      </c>
      <c r="F23" s="11" t="s">
        <v>18</v>
      </c>
      <c r="H23" s="1">
        <f>315/16384*B11*B11*B11*B11</f>
        <v>3.926971898073596E-11</v>
      </c>
    </row>
    <row r="24" spans="1:12" ht="12.75">
      <c r="A24" s="11" t="s">
        <v>74</v>
      </c>
      <c r="B24" s="2">
        <f>-(1/FACT(6))*B12*B6*(POWER(B7,5))*(61-58*POWER(B8,2)+POWER(B8,4)+270*POWER(B13,2)-330*POWER(B13,2)*POWER(B8,2))</f>
        <v>-52860.90094034798</v>
      </c>
      <c r="F24" s="11" t="s">
        <v>13</v>
      </c>
      <c r="H24">
        <f>B9*(1-B11)*(H19*I3-H20/2*SIN(2*I3)+H21/4*SIN(4*I3)-H22/6*SIN(6*I3)+H23/8*SIN(8*I3))</f>
        <v>4043641.1918585277</v>
      </c>
      <c r="J24" s="12" t="s">
        <v>12</v>
      </c>
      <c r="K24" s="13">
        <f>500000+0.9996*B25</f>
        <v>743306.2760105694</v>
      </c>
      <c r="L24" s="42" t="s">
        <v>25</v>
      </c>
    </row>
    <row r="25" spans="1:12" ht="12.75">
      <c r="A25" s="16" t="s">
        <v>23</v>
      </c>
      <c r="B25" s="18">
        <f>B19*B18-B21*POWER(B18,3)+B23*POWER(B18,5)</f>
        <v>243403.6374655556</v>
      </c>
      <c r="F25" s="16" t="s">
        <v>24</v>
      </c>
      <c r="G25" s="17"/>
      <c r="H25" s="18">
        <f>H24-B20*POWER(B18,2)+B22*POWER(B18,4)-B24*POWER(B18,6)</f>
        <v>4047077.634581506</v>
      </c>
      <c r="J25" s="14" t="s">
        <v>19</v>
      </c>
      <c r="K25" s="15">
        <f>0.9996*H25</f>
        <v>4045458.8035276732</v>
      </c>
      <c r="L25" s="43" t="s">
        <v>25</v>
      </c>
    </row>
    <row r="26" spans="2:11" ht="12.75">
      <c r="B26" s="2">
        <f>B25*0.9996</f>
        <v>243306.2760105694</v>
      </c>
      <c r="K26" s="7"/>
    </row>
    <row r="27" spans="1:11" ht="18">
      <c r="A27" s="52" t="s">
        <v>75</v>
      </c>
      <c r="B27" s="53" t="s">
        <v>76</v>
      </c>
      <c r="K27" s="7"/>
    </row>
    <row r="28" spans="1:15" ht="12.75">
      <c r="A28" s="16" t="s">
        <v>23</v>
      </c>
      <c r="B28" s="51">
        <f>B19*I4-B21*POWER(I4,3)+B23*POWER(I4,5)</f>
        <v>-563071.1647763813</v>
      </c>
      <c r="I28" s="7">
        <f>180/PI()*(B18*B6+POWER(B18,3)/3*B6*B7*B7*(1+3*B13*B13+2*POWER(B13,4))+POWER(B18,5)/15*B6*POWER(B7,4)*(2-B8*B8))</f>
        <v>1.6179293312543284</v>
      </c>
      <c r="K28" s="12" t="s">
        <v>68</v>
      </c>
      <c r="L28" s="47" t="str">
        <f>IF(J27&lt;0,"+","-")</f>
        <v>-</v>
      </c>
      <c r="M28" s="45">
        <f>INT(ABS(I28))</f>
        <v>1</v>
      </c>
      <c r="N28" s="41">
        <f>INT((ABS(I28)-INT(ABS(I28)))*60)</f>
        <v>37</v>
      </c>
      <c r="O28" s="50">
        <f>(((ABS(I28)-INT(ABS(I28)))*60)-N28)*60</f>
        <v>4.545592515581944</v>
      </c>
    </row>
    <row r="29" spans="1:11" ht="12.75">
      <c r="A29" s="16" t="s">
        <v>24</v>
      </c>
      <c r="B29" s="51">
        <f>H24-B20*POWER(B18,2)+B22*POWER(B18,4)-B24*POWER(B18,6)</f>
        <v>4047077.634581506</v>
      </c>
      <c r="K29" s="7"/>
    </row>
    <row r="30" spans="7:11" ht="12.75">
      <c r="G30" s="56" t="s">
        <v>77</v>
      </c>
      <c r="H30" s="54"/>
      <c r="I30" s="54"/>
      <c r="J30" s="54"/>
      <c r="K30" s="55">
        <f>0.9996*(1+POWER(B18,2)/2*B7*B7*(1+B13*B13))</f>
        <v>1.000329107375921</v>
      </c>
    </row>
    <row r="101" ht="12.75">
      <c r="A101" s="11" t="s">
        <v>67</v>
      </c>
    </row>
    <row r="102" ht="12.75">
      <c r="A102" s="11" t="s">
        <v>28</v>
      </c>
    </row>
  </sheetData>
  <sheetProtection/>
  <dataValidations count="1">
    <dataValidation type="list" allowBlank="1" showInputMessage="1" showErrorMessage="1" sqref="B3">
      <formula1>A101:A102</formula1>
    </dataValidation>
  </dataValidations>
  <printOptions/>
  <pageMargins left="0.75" right="0.75" top="1" bottom="1" header="0" footer="0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45" sqref="C45"/>
    </sheetView>
  </sheetViews>
  <sheetFormatPr defaultColWidth="11.421875" defaultRowHeight="12.75"/>
  <cols>
    <col min="2" max="2" width="14.57421875" style="0" customWidth="1"/>
    <col min="3" max="3" width="7.7109375" style="0" customWidth="1"/>
    <col min="4" max="4" width="16.8515625" style="0" customWidth="1"/>
    <col min="5" max="5" width="6.00390625" style="0" customWidth="1"/>
    <col min="6" max="6" width="16.28125" style="0" customWidth="1"/>
    <col min="7" max="7" width="16.57421875" style="0" customWidth="1"/>
    <col min="8" max="8" width="14.140625" style="0" customWidth="1"/>
    <col min="9" max="9" width="4.57421875" style="0" customWidth="1"/>
    <col min="12" max="12" width="3.00390625" style="0" customWidth="1"/>
  </cols>
  <sheetData>
    <row r="1" spans="1:8" ht="20.25">
      <c r="A1" s="11"/>
      <c r="B1" s="37" t="s">
        <v>63</v>
      </c>
      <c r="F1" s="7"/>
      <c r="H1" s="24"/>
    </row>
    <row r="2" spans="1:8" ht="12.75">
      <c r="A2" s="11"/>
      <c r="B2" s="2"/>
      <c r="F2" s="7"/>
      <c r="H2" s="24"/>
    </row>
    <row r="3" spans="2:8" ht="12.75">
      <c r="B3" s="30" t="s">
        <v>59</v>
      </c>
      <c r="C3" s="32" t="s">
        <v>28</v>
      </c>
      <c r="E3" s="29" t="s">
        <v>56</v>
      </c>
      <c r="F3" s="19">
        <v>743306.276</v>
      </c>
      <c r="G3" s="4" t="s">
        <v>25</v>
      </c>
      <c r="H3" s="25"/>
    </row>
    <row r="4" spans="2:8" ht="12.75">
      <c r="B4" s="30" t="s">
        <v>58</v>
      </c>
      <c r="C4" s="31">
        <v>29</v>
      </c>
      <c r="E4" s="29" t="s">
        <v>57</v>
      </c>
      <c r="F4" s="19">
        <v>4045458.804</v>
      </c>
      <c r="G4" s="4" t="s">
        <v>25</v>
      </c>
      <c r="H4" s="25"/>
    </row>
    <row r="5" spans="1:8" ht="12.75">
      <c r="A5" s="11"/>
      <c r="B5" s="2"/>
      <c r="F5" s="7"/>
      <c r="H5" s="24"/>
    </row>
    <row r="6" spans="1:8" ht="12.75">
      <c r="A6" s="11" t="s">
        <v>0</v>
      </c>
      <c r="B6" s="10">
        <f>IF(C3="WGS84",6378137,IF(C3="ED50",6378388,0))</f>
        <v>6378388</v>
      </c>
      <c r="C6" s="48" t="s">
        <v>14</v>
      </c>
      <c r="D6" s="59">
        <f>1+3/4*B9+45/64*B9*B9+175/256*B9*B9*B9+11025/16384*B9*B9*B9*B9</f>
        <v>1.0050739888216826</v>
      </c>
      <c r="F6" s="11" t="s">
        <v>39</v>
      </c>
      <c r="G6" s="23">
        <f>B6*(1-B9)</f>
        <v>6335508.20220159</v>
      </c>
      <c r="H6" s="24"/>
    </row>
    <row r="7" spans="1:8" ht="12.75">
      <c r="A7" s="11" t="s">
        <v>1</v>
      </c>
      <c r="B7" s="2">
        <f>IF(C3="WGS84",1/298.257223563,IF(C3="ED50",1/297,0))</f>
        <v>0.003367003367003367</v>
      </c>
      <c r="C7" s="48" t="s">
        <v>15</v>
      </c>
      <c r="D7" s="59">
        <f>3/4*B9+15/16*B9*B9+525/512*B9*B9*B9+2205/2048*B9*B9*B9*B9</f>
        <v>0.005084685905472651</v>
      </c>
      <c r="F7" s="11" t="s">
        <v>34</v>
      </c>
      <c r="G7" s="23">
        <f>D6*G6</f>
        <v>6367654.499999239</v>
      </c>
      <c r="H7" s="24"/>
    </row>
    <row r="8" spans="1:8" ht="12.75">
      <c r="A8" s="11" t="s">
        <v>88</v>
      </c>
      <c r="B8">
        <f>SQRT(B9)</f>
        <v>0.08199188997902976</v>
      </c>
      <c r="C8" s="48" t="s">
        <v>16</v>
      </c>
      <c r="D8" s="59">
        <f>15/64*B9*B9+105/256*B9*B9*B9+2205/4096*B9*B9*B9*B9</f>
        <v>1.071812805476217E-05</v>
      </c>
      <c r="F8" s="26" t="s">
        <v>50</v>
      </c>
      <c r="G8">
        <f>0.9996</f>
        <v>0.9996</v>
      </c>
      <c r="H8" s="24"/>
    </row>
    <row r="9" spans="1:8" ht="12.75">
      <c r="A9" s="11" t="s">
        <v>2</v>
      </c>
      <c r="B9" s="2">
        <f>B7*(2-B7)</f>
        <v>0.006722670022333321</v>
      </c>
      <c r="C9" s="48" t="s">
        <v>17</v>
      </c>
      <c r="D9" s="59">
        <f>35/512*B9*B9*B9+315/2048*B9*B9*B9*B9</f>
        <v>2.108353465465564E-08</v>
      </c>
      <c r="F9" s="7"/>
      <c r="H9" s="24"/>
    </row>
    <row r="10" spans="1:8" ht="12.75">
      <c r="A10" s="20" t="s">
        <v>23</v>
      </c>
      <c r="B10" s="21">
        <f>F3-500000</f>
        <v>243306.27599999995</v>
      </c>
      <c r="C10" s="48" t="s">
        <v>18</v>
      </c>
      <c r="D10" s="59">
        <f>315/16384*B9*B9*B9*B9</f>
        <v>3.926971898073596E-11</v>
      </c>
      <c r="H10" s="24"/>
    </row>
    <row r="11" spans="1:10" ht="12.75">
      <c r="A11" s="11" t="s">
        <v>29</v>
      </c>
      <c r="B11">
        <f>F4/0.9996</f>
        <v>4047077.6350540216</v>
      </c>
      <c r="C11" s="49"/>
      <c r="D11" s="11" t="s">
        <v>31</v>
      </c>
      <c r="F11" s="22">
        <f>G6*(D6*B12-D7/2*SIN(2*B12)+D8/4*SIN(4*B12)-D9/6*SIN(6*B12)+D10/8*SIN(8*B12))</f>
        <v>4031697.970687882</v>
      </c>
      <c r="G11" s="11" t="s">
        <v>84</v>
      </c>
      <c r="H11" s="24">
        <f>B11-F11</f>
        <v>15379.664366139565</v>
      </c>
      <c r="I11" s="11" t="s">
        <v>35</v>
      </c>
      <c r="J11">
        <f>H11/G7</f>
        <v>0.0024152793412615904</v>
      </c>
    </row>
    <row r="12" spans="1:12" ht="12.75">
      <c r="A12" s="11" t="s">
        <v>30</v>
      </c>
      <c r="B12" s="60">
        <f>B11/G7</f>
        <v>0.6355680313770958</v>
      </c>
      <c r="C12" s="49"/>
      <c r="D12" s="11" t="s">
        <v>33</v>
      </c>
      <c r="F12" s="22">
        <f>G6*(D6*B13-D7/2*SIN(2*B13)+D8/4*SIN(4*B13)-D9/6*SIN(6*B13)+D10/8*SIN(8*B13))</f>
        <v>4047054.7110889107</v>
      </c>
      <c r="G12" s="11" t="s">
        <v>79</v>
      </c>
      <c r="H12" s="24">
        <f>B11-F12</f>
        <v>22.923965110909194</v>
      </c>
      <c r="I12" s="11" t="s">
        <v>36</v>
      </c>
      <c r="J12">
        <f>H12/G7</f>
        <v>3.6000642168811034E-06</v>
      </c>
      <c r="K12" s="11"/>
      <c r="L12" s="1"/>
    </row>
    <row r="13" spans="1:10" ht="12.75">
      <c r="A13" s="11" t="s">
        <v>32</v>
      </c>
      <c r="B13" s="60">
        <f>B12+J11</f>
        <v>0.6379833107183575</v>
      </c>
      <c r="C13" s="49"/>
      <c r="D13" s="11" t="s">
        <v>38</v>
      </c>
      <c r="F13" s="22">
        <f>G6*(D6*B14-D7/2*SIN(2*B14)+D8/4*SIN(4*B14)-D9/6*SIN(6*B14)+D10/8*SIN(8*B14))</f>
        <v>4047077.6011526193</v>
      </c>
      <c r="G13" s="11" t="s">
        <v>80</v>
      </c>
      <c r="H13" s="24">
        <f>B11-F13</f>
        <v>0.03390140226110816</v>
      </c>
      <c r="I13" s="11" t="s">
        <v>40</v>
      </c>
      <c r="J13" s="61">
        <f>H13/G7</f>
        <v>5.324001523812608E-09</v>
      </c>
    </row>
    <row r="14" spans="1:10" ht="12.75">
      <c r="A14" s="11" t="s">
        <v>37</v>
      </c>
      <c r="B14" s="60">
        <f>B13+J12</f>
        <v>0.6379869107825743</v>
      </c>
      <c r="C14" s="49"/>
      <c r="D14" s="11" t="s">
        <v>42</v>
      </c>
      <c r="F14" s="22">
        <f>G6*(D6*B15-D7/2*SIN(2*B15)+D8/4*SIN(4*B15)-D9/6*SIN(6*B15)+D10/8*SIN(8*B15))</f>
        <v>4047077.635003887</v>
      </c>
      <c r="G14" s="11" t="s">
        <v>81</v>
      </c>
      <c r="H14" s="24">
        <f>B11-F14</f>
        <v>5.013449117541313E-05</v>
      </c>
      <c r="I14" s="11" t="s">
        <v>85</v>
      </c>
      <c r="J14">
        <f>H14/G7</f>
        <v>7.873305810706143E-12</v>
      </c>
    </row>
    <row r="15" spans="1:10" ht="12.75">
      <c r="A15" s="11" t="s">
        <v>41</v>
      </c>
      <c r="B15" s="60">
        <f>B14+J13</f>
        <v>0.6379869161065759</v>
      </c>
      <c r="C15" s="49"/>
      <c r="D15" s="11" t="s">
        <v>83</v>
      </c>
      <c r="F15" s="22">
        <f>G6*(D6*B16-D7/2*SIN(2*B16)+D8/4*SIN(4*B16)-D9/6*SIN(6*B16)+D10/8*SIN(8*B16))</f>
        <v>4047077.6350539476</v>
      </c>
      <c r="G15" s="11" t="s">
        <v>82</v>
      </c>
      <c r="H15" s="24">
        <f>B11-F15</f>
        <v>7.404014468193054E-08</v>
      </c>
      <c r="I15" s="11" t="s">
        <v>86</v>
      </c>
      <c r="J15">
        <f>H15/G7</f>
        <v>1.1627538001934525E-14</v>
      </c>
    </row>
    <row r="16" spans="1:8" ht="12.75">
      <c r="A16" s="11" t="s">
        <v>43</v>
      </c>
      <c r="B16" s="60">
        <f>B15+J14</f>
        <v>0.6379869161144491</v>
      </c>
      <c r="C16" s="49"/>
      <c r="H16" s="24"/>
    </row>
    <row r="17" spans="1:8" ht="12.75">
      <c r="A17" s="11" t="s">
        <v>43</v>
      </c>
      <c r="B17" s="60">
        <f>B16+J15</f>
        <v>0.6379869161144608</v>
      </c>
      <c r="C17" s="49"/>
      <c r="H17" s="24"/>
    </row>
    <row r="18" spans="1:8" ht="12.75">
      <c r="A18" s="11" t="s">
        <v>9</v>
      </c>
      <c r="B18" s="1">
        <f>SIN(B17)</f>
        <v>0.5955795463392592</v>
      </c>
      <c r="C18" s="48" t="s">
        <v>60</v>
      </c>
      <c r="D18">
        <f>IF(C4=31,3*PI()/180,IF(C4=30,-3*PI()/180,IF(C4=29,-9*PI()/180,IF(C4=28,-15*PI()/180,-21*PI()/180))))</f>
        <v>-0.15707963267948966</v>
      </c>
      <c r="E18">
        <f>D18*180/PI()</f>
        <v>-9</v>
      </c>
      <c r="H18" s="24"/>
    </row>
    <row r="19" spans="1:8" ht="12.75">
      <c r="A19" s="11" t="s">
        <v>8</v>
      </c>
      <c r="B19" s="1">
        <f>COS(B17)</f>
        <v>0.8032963363431469</v>
      </c>
      <c r="C19" s="48" t="s">
        <v>55</v>
      </c>
      <c r="D19" s="62">
        <f>D25-D27+D29</f>
        <v>0.04742429057429194</v>
      </c>
      <c r="F19">
        <f>D19*180/PI()</f>
        <v>2.7172116963089796</v>
      </c>
      <c r="H19" s="24"/>
    </row>
    <row r="20" spans="1:8" ht="12.75">
      <c r="A20" s="11" t="s">
        <v>22</v>
      </c>
      <c r="B20" s="1">
        <f>TAN(B17)</f>
        <v>0.7414194729811932</v>
      </c>
      <c r="C20" s="48" t="s">
        <v>61</v>
      </c>
      <c r="D20" s="62">
        <f>D18+D19</f>
        <v>-0.10965534210519771</v>
      </c>
      <c r="F20">
        <f>D20*180/PI()</f>
        <v>-6.282788303691021</v>
      </c>
      <c r="H20" s="24"/>
    </row>
    <row r="21" spans="1:12" ht="12.75">
      <c r="A21" s="11" t="s">
        <v>87</v>
      </c>
      <c r="B21" s="62">
        <f>LOG(TAN((B17/2+45*PI()/180)),2.718281828)+(B8/2)*LOG(((1-B8*SIN(B17))/(1+B8*SIN(B17))),2.718281828)</f>
        <v>0.6822615469427217</v>
      </c>
      <c r="C21" s="49"/>
      <c r="H21" s="24"/>
      <c r="L21" s="27"/>
    </row>
    <row r="22" spans="1:12" ht="12.75">
      <c r="A22" s="11" t="s">
        <v>3</v>
      </c>
      <c r="B22" s="23">
        <f>B6/SQRT(1-B9*POWER(B18,2))</f>
        <v>6386006.682177844</v>
      </c>
      <c r="C22" s="48"/>
      <c r="D22" s="1"/>
      <c r="G22" s="35"/>
      <c r="H22" s="35"/>
      <c r="I22" s="1"/>
      <c r="J22" s="7"/>
      <c r="K22" s="36"/>
      <c r="L22" s="27"/>
    </row>
    <row r="23" spans="1:11" ht="12.75">
      <c r="A23" s="11" t="s">
        <v>44</v>
      </c>
      <c r="B23" s="1">
        <f>B9/(1-B9)</f>
        <v>0.00676817019722425</v>
      </c>
      <c r="G23" s="35"/>
      <c r="H23" s="35"/>
      <c r="I23" s="1"/>
      <c r="J23" s="7"/>
      <c r="K23" s="36"/>
    </row>
    <row r="24" spans="1:11" ht="12.75">
      <c r="A24" s="11" t="s">
        <v>45</v>
      </c>
      <c r="B24" s="1">
        <f>B23*B19*B19</f>
        <v>0.0043673987326688845</v>
      </c>
      <c r="E24" s="48" t="s">
        <v>52</v>
      </c>
      <c r="F24" s="62">
        <f>B17+F27+F28+F29</f>
        <v>0.6374464437740809</v>
      </c>
      <c r="G24">
        <f>F24*180/PI()</f>
        <v>36.522990893878166</v>
      </c>
      <c r="H24" s="35"/>
      <c r="I24" s="35"/>
      <c r="J24" s="7"/>
      <c r="K24" s="36"/>
    </row>
    <row r="25" spans="1:8" ht="12.75">
      <c r="A25" s="11" t="s">
        <v>46</v>
      </c>
      <c r="B25" s="28">
        <f>1/B22/B19</f>
        <v>1.949372544790128E-07</v>
      </c>
      <c r="C25" s="11" t="s">
        <v>89</v>
      </c>
      <c r="D25" s="62">
        <f>B25*B10/G8</f>
        <v>0.04744843681567918</v>
      </c>
      <c r="E25" s="11" t="s">
        <v>95</v>
      </c>
      <c r="F25" s="62">
        <f>B21-D26+D28-D30</f>
        <v>0.6815917897982227</v>
      </c>
      <c r="H25" s="24"/>
    </row>
    <row r="26" spans="1:12" ht="12.75">
      <c r="A26" s="11" t="s">
        <v>47</v>
      </c>
      <c r="B26" s="28">
        <f>B20/2/B22/B22/B19</f>
        <v>1.1316170157133367E-14</v>
      </c>
      <c r="C26" s="11" t="s">
        <v>90</v>
      </c>
      <c r="D26" s="62">
        <f>B26*B10*B10/G8/G8</f>
        <v>0.0006704302435146369</v>
      </c>
      <c r="E26" s="11" t="s">
        <v>96</v>
      </c>
      <c r="F26" s="62">
        <f>F25-B21</f>
        <v>-0.0006697571444990169</v>
      </c>
      <c r="H26" s="44" t="s">
        <v>61</v>
      </c>
      <c r="I26" s="45">
        <f>INT(ABS(F20))</f>
        <v>6</v>
      </c>
      <c r="J26" s="41">
        <f>INT((ABS(F20)-INT(ABS(F20)))*60)</f>
        <v>16</v>
      </c>
      <c r="K26" s="46">
        <f>(((ABS(F20)-INT(ABS(F20)))*60)-J26)*60</f>
        <v>58.03789328767493</v>
      </c>
      <c r="L26" s="47" t="str">
        <f>IF(F20&lt;0,"W","E")</f>
        <v>W</v>
      </c>
    </row>
    <row r="27" spans="1:12" ht="12.75">
      <c r="A27" s="11" t="s">
        <v>48</v>
      </c>
      <c r="B27" s="28">
        <f>(1+2*B20*B20+B24)/6/B22/B22/B22/B19</f>
        <v>1.6760375665584693E-21</v>
      </c>
      <c r="C27" s="11" t="s">
        <v>91</v>
      </c>
      <c r="D27" s="62">
        <f>B27*B10*B10*B10/G8/G8/G8</f>
        <v>2.416934833533661E-05</v>
      </c>
      <c r="E27" s="11" t="s">
        <v>97</v>
      </c>
      <c r="F27" s="62">
        <f>F26*(1+B24)*COS(B17)</f>
        <v>-0.0005403631797208863</v>
      </c>
      <c r="H27" s="44" t="s">
        <v>52</v>
      </c>
      <c r="I27" s="45">
        <f>INT(ABS(G24))</f>
        <v>36</v>
      </c>
      <c r="J27" s="41">
        <f>INT((ABS(G24)-INT(ABS(G24)))*60)</f>
        <v>31</v>
      </c>
      <c r="K27" s="46">
        <f>((ABS(G24-INT(G24)))*60-J27)*60</f>
        <v>22.767217961398387</v>
      </c>
      <c r="L27" s="47" t="str">
        <f>IF(G24&gt;0,"N","S")</f>
        <v>N</v>
      </c>
    </row>
    <row r="28" spans="1:8" ht="12.75">
      <c r="A28" s="11" t="s">
        <v>53</v>
      </c>
      <c r="B28" s="28">
        <f>B20*(5+6*B20*B20+B24-4*B24*B24)/24/POWER(B22,4)/B19</f>
        <v>1.9198566145324932E-28</v>
      </c>
      <c r="C28" s="11" t="s">
        <v>92</v>
      </c>
      <c r="D28" s="62">
        <f>B28*B10*B10*B10*B10/G8/G8/G8/G8</f>
        <v>6.738714404399604E-07</v>
      </c>
      <c r="E28" s="11" t="s">
        <v>98</v>
      </c>
      <c r="F28" s="62">
        <f>(-1/2)*F26*F26*(1+4*B24-3*B24*B24)*COS(B17)*COS(B17)*TAN(B17)</f>
        <v>-1.0917351415934187E-07</v>
      </c>
      <c r="H28" s="24"/>
    </row>
    <row r="29" spans="1:8" ht="12.75">
      <c r="A29" s="11" t="s">
        <v>49</v>
      </c>
      <c r="B29" s="28">
        <f>(5+28*B20*B20+24*B20*B20*B20*B20+6*B24+8*B24*B20*B20)/120/POWER(B22,5)/B19</f>
        <v>2.7046263097160856E-35</v>
      </c>
      <c r="C29" s="11" t="s">
        <v>93</v>
      </c>
      <c r="D29" s="62">
        <f>B29*B10*B10*B10*B10*B10/G8/G8/G8/G8/G8</f>
        <v>2.3106948098911332E-08</v>
      </c>
      <c r="E29" s="11" t="s">
        <v>99</v>
      </c>
      <c r="F29" s="62">
        <f>(-1/6)*F26*F26*F26*(1-TAN(B17)*TAN(B17)+5*B24+13*B24*TAN(B17)*TAN(B17)*TAN(B17))*COS(B17)*COS(B17)*COS(B17)</f>
        <v>1.2855044958128708E-11</v>
      </c>
      <c r="H29" s="24"/>
    </row>
    <row r="30" spans="1:8" ht="12.75">
      <c r="A30" s="11" t="s">
        <v>54</v>
      </c>
      <c r="B30" s="28">
        <f>B20*(61+180*B20*B20+120*B20*B20*B20*B20+46*B24+48*B24*B20*B20)/720/POWER(B22,6)/B19</f>
        <v>3.714444167022187E-42</v>
      </c>
      <c r="C30" s="11" t="s">
        <v>94</v>
      </c>
      <c r="D30" s="62">
        <f>B30*B10*B10*B10*B10*B10*B10/G8/G8/G8/G8/G8/G8</f>
        <v>7.724248181365283E-10</v>
      </c>
      <c r="H30" s="24"/>
    </row>
    <row r="31" spans="1:8" ht="12.75">
      <c r="A31" s="11" t="s">
        <v>5</v>
      </c>
      <c r="B31" s="1">
        <f>-POWER((B10/G8),2)*B20*(1+B24)/2/B22/B22</f>
        <v>-0.0005409062391377731</v>
      </c>
      <c r="H31" s="24"/>
    </row>
    <row r="32" spans="1:8" ht="12.75">
      <c r="A32" s="11" t="s">
        <v>6</v>
      </c>
      <c r="B32" s="1">
        <f>POWER((B10/G8),4)*B20*(5+3*POWER(B20,3)+6*B24*(1-B20*B20)-3*B24*B24*(1+3*B20*B20))/24/POWER(B22,4)</f>
        <v>4.0647446579149094E-07</v>
      </c>
      <c r="H32" s="24"/>
    </row>
    <row r="33" spans="1:8" ht="12.75">
      <c r="A33" s="11" t="s">
        <v>7</v>
      </c>
      <c r="B33" s="1">
        <f>-POWER((B10/G8),6)*B20*(61-90*POWER(B20,2)+45*POWER(B20,4)+B24*(107-162*B20*B20-45*POWER(B20,4)))/720/POWER(B22,6)</f>
        <v>-7.938602701186049E-11</v>
      </c>
      <c r="H33" s="24"/>
    </row>
    <row r="34" spans="1:8" ht="12.75">
      <c r="A34" s="33"/>
      <c r="B34" s="34"/>
      <c r="H34" s="24"/>
    </row>
    <row r="35" ht="12.75">
      <c r="H35" s="24"/>
    </row>
    <row r="100" spans="1:3" ht="12.75">
      <c r="A100" t="s">
        <v>67</v>
      </c>
      <c r="C100">
        <v>31</v>
      </c>
    </row>
    <row r="101" spans="1:3" ht="12.75">
      <c r="A101" t="s">
        <v>28</v>
      </c>
      <c r="C101">
        <v>30</v>
      </c>
    </row>
    <row r="102" ht="12.75">
      <c r="C102">
        <v>29</v>
      </c>
    </row>
    <row r="103" ht="12.75">
      <c r="C103">
        <v>28</v>
      </c>
    </row>
    <row r="104" ht="12.75">
      <c r="C104">
        <v>27</v>
      </c>
    </row>
  </sheetData>
  <sheetProtection/>
  <dataValidations count="2">
    <dataValidation type="list" allowBlank="1" showInputMessage="1" showErrorMessage="1" sqref="C3">
      <formula1>A100:A101</formula1>
    </dataValidation>
    <dataValidation type="list" allowBlank="1" showInputMessage="1" showErrorMessage="1" sqref="C4">
      <formula1>C100:C104</formula1>
    </dataValidation>
  </dataValidation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D28" sqref="D28"/>
    </sheetView>
  </sheetViews>
  <sheetFormatPr defaultColWidth="11.421875" defaultRowHeight="12.75"/>
  <cols>
    <col min="2" max="2" width="13.140625" style="0" customWidth="1"/>
    <col min="3" max="3" width="7.28125" style="0" customWidth="1"/>
    <col min="4" max="4" width="17.28125" style="0" customWidth="1"/>
    <col min="5" max="5" width="3.57421875" style="0" customWidth="1"/>
    <col min="6" max="6" width="14.00390625" style="0" customWidth="1"/>
    <col min="7" max="7" width="17.57421875" style="0" customWidth="1"/>
    <col min="8" max="8" width="13.421875" style="24" customWidth="1"/>
    <col min="9" max="9" width="4.8515625" style="0" customWidth="1"/>
    <col min="10" max="10" width="12.57421875" style="0" customWidth="1"/>
    <col min="11" max="11" width="8.421875" style="0" customWidth="1"/>
    <col min="12" max="12" width="3.421875" style="0" customWidth="1"/>
    <col min="13" max="13" width="3.28125" style="0" customWidth="1"/>
    <col min="14" max="14" width="9.00390625" style="7" customWidth="1"/>
    <col min="15" max="15" width="3.140625" style="0" customWidth="1"/>
  </cols>
  <sheetData>
    <row r="1" spans="1:6" ht="20.25">
      <c r="A1" s="11"/>
      <c r="B1" s="37" t="s">
        <v>63</v>
      </c>
      <c r="F1" s="7"/>
    </row>
    <row r="2" spans="1:6" ht="12.75">
      <c r="A2" s="11"/>
      <c r="B2" s="2"/>
      <c r="F2" s="7"/>
    </row>
    <row r="3" spans="2:8" ht="12.75">
      <c r="B3" s="30" t="s">
        <v>59</v>
      </c>
      <c r="C3" s="32" t="s">
        <v>28</v>
      </c>
      <c r="E3" s="29" t="s">
        <v>56</v>
      </c>
      <c r="F3" s="19">
        <v>743306.276</v>
      </c>
      <c r="G3" s="4" t="s">
        <v>25</v>
      </c>
      <c r="H3" s="25"/>
    </row>
    <row r="4" spans="2:8" ht="12.75">
      <c r="B4" s="30" t="s">
        <v>58</v>
      </c>
      <c r="C4" s="31">
        <v>29</v>
      </c>
      <c r="E4" s="29" t="s">
        <v>57</v>
      </c>
      <c r="F4" s="19">
        <v>4045458.804</v>
      </c>
      <c r="G4" s="4" t="s">
        <v>25</v>
      </c>
      <c r="H4" s="25"/>
    </row>
    <row r="5" spans="1:6" ht="12.75">
      <c r="A5" s="11"/>
      <c r="B5" s="2"/>
      <c r="F5" s="7"/>
    </row>
    <row r="6" spans="1:7" ht="12.75">
      <c r="A6" s="11" t="s">
        <v>0</v>
      </c>
      <c r="B6" s="10">
        <f>IF(C3="WGS84",6378137,IF(C3="ED50",6378388,0))</f>
        <v>6378388</v>
      </c>
      <c r="C6" s="48" t="s">
        <v>14</v>
      </c>
      <c r="D6" s="59">
        <f>1+3/4*B8+45/64*B8*B8+175/256*B8*B8*B8+11025/16384*B8*B8*B8*B8</f>
        <v>1.0050739888216826</v>
      </c>
      <c r="F6" s="11" t="s">
        <v>39</v>
      </c>
      <c r="G6" s="23">
        <f>B6*(1-B8)</f>
        <v>6335508.20220159</v>
      </c>
    </row>
    <row r="7" spans="1:7" ht="12.75">
      <c r="A7" s="11" t="s">
        <v>1</v>
      </c>
      <c r="B7" s="2">
        <f>IF(C3="WGS84",1/298.257223563,IF(C3="ED50",1/297,0))</f>
        <v>0.003367003367003367</v>
      </c>
      <c r="C7" s="48" t="s">
        <v>15</v>
      </c>
      <c r="D7" s="59">
        <f>3/4*B8+15/16*B8*B8+525/512*B8*B8*B8+2205/2048*B8*B8*B8*B8</f>
        <v>0.005084685905472651</v>
      </c>
      <c r="F7" s="11" t="s">
        <v>34</v>
      </c>
      <c r="G7" s="23">
        <f>D6*G6</f>
        <v>6367654.499999239</v>
      </c>
    </row>
    <row r="8" spans="1:7" ht="12.75">
      <c r="A8" s="11" t="s">
        <v>2</v>
      </c>
      <c r="B8" s="2">
        <f>B7*(2-B7)</f>
        <v>0.006722670022333321</v>
      </c>
      <c r="C8" s="48" t="s">
        <v>16</v>
      </c>
      <c r="D8" s="59">
        <f>15/64*B8*B8+105/256*B8*B8*B8+2205/4096*B8*B8*B8*B8</f>
        <v>1.071812805476217E-05</v>
      </c>
      <c r="F8" s="26" t="s">
        <v>50</v>
      </c>
      <c r="G8">
        <f>0.9996</f>
        <v>0.9996</v>
      </c>
    </row>
    <row r="9" spans="1:6" ht="12.75">
      <c r="A9" s="20" t="s">
        <v>23</v>
      </c>
      <c r="B9" s="21">
        <f>F3-500000</f>
        <v>243306.27599999995</v>
      </c>
      <c r="C9" s="48" t="s">
        <v>17</v>
      </c>
      <c r="D9" s="59">
        <f>35/512*B8*B8*B8+315/2048*B8*B8*B8*B8</f>
        <v>2.108353465465564E-08</v>
      </c>
      <c r="F9" s="7"/>
    </row>
    <row r="10" spans="1:4" ht="12.75">
      <c r="A10" s="11" t="s">
        <v>29</v>
      </c>
      <c r="B10">
        <f>F4/0.9996</f>
        <v>4047077.6350540216</v>
      </c>
      <c r="C10" s="48" t="s">
        <v>18</v>
      </c>
      <c r="D10" s="59">
        <f>315/16384*B8*B8*B8*B8</f>
        <v>3.926971898073596E-11</v>
      </c>
    </row>
    <row r="11" spans="1:10" ht="12.75">
      <c r="A11" s="11" t="s">
        <v>30</v>
      </c>
      <c r="B11" s="60">
        <f>B10/G7</f>
        <v>0.6355680313770958</v>
      </c>
      <c r="C11" s="49"/>
      <c r="D11" s="11" t="s">
        <v>31</v>
      </c>
      <c r="F11" s="22">
        <f>G6*(D6*B11-D7/2*SIN(2*B11)+D8/4*SIN(4*B11)-D9/6*SIN(6*B11)+D10/8*SIN(8*B11))</f>
        <v>4031697.970687882</v>
      </c>
      <c r="G11" s="11" t="s">
        <v>84</v>
      </c>
      <c r="H11" s="24">
        <f>B10-F11</f>
        <v>15379.664366139565</v>
      </c>
      <c r="I11" s="11" t="s">
        <v>35</v>
      </c>
      <c r="J11">
        <f>H11/G7</f>
        <v>0.0024152793412615904</v>
      </c>
    </row>
    <row r="12" spans="1:12" ht="12.75">
      <c r="A12" s="11" t="s">
        <v>32</v>
      </c>
      <c r="B12" s="60">
        <f>B11+J11</f>
        <v>0.6379833107183575</v>
      </c>
      <c r="C12" s="49"/>
      <c r="D12" s="11" t="s">
        <v>33</v>
      </c>
      <c r="F12" s="22">
        <f>G6*(D6*B12-D7/2*SIN(2*B12)+D8/4*SIN(4*B12)-D9/6*SIN(6*B12)+D10/8*SIN(8*B12))</f>
        <v>4047054.7110889107</v>
      </c>
      <c r="G12" s="11" t="s">
        <v>79</v>
      </c>
      <c r="H12" s="24">
        <f>B10-F12</f>
        <v>22.923965110909194</v>
      </c>
      <c r="I12" s="11" t="s">
        <v>36</v>
      </c>
      <c r="J12">
        <f>H12/G7</f>
        <v>3.6000642168811034E-06</v>
      </c>
      <c r="K12" s="11"/>
      <c r="L12" s="1"/>
    </row>
    <row r="13" spans="1:10" ht="12.75">
      <c r="A13" s="11" t="s">
        <v>37</v>
      </c>
      <c r="B13" s="60">
        <f>B12+J12</f>
        <v>0.6379869107825743</v>
      </c>
      <c r="C13" s="49"/>
      <c r="D13" s="11" t="s">
        <v>38</v>
      </c>
      <c r="F13" s="22">
        <f>G6*(D6*B13-D7/2*SIN(2*B13)+D8/4*SIN(4*B13)-D9/6*SIN(6*B13)+D10/8*SIN(8*B13))</f>
        <v>4047077.6011526193</v>
      </c>
      <c r="G13" s="11" t="s">
        <v>80</v>
      </c>
      <c r="H13" s="24">
        <f>B10-F13</f>
        <v>0.03390140226110816</v>
      </c>
      <c r="I13" s="11" t="s">
        <v>40</v>
      </c>
      <c r="J13" s="61">
        <f>H13/G7</f>
        <v>5.324001523812608E-09</v>
      </c>
    </row>
    <row r="14" spans="1:10" ht="12.75">
      <c r="A14" s="11" t="s">
        <v>41</v>
      </c>
      <c r="B14" s="60">
        <f>B13+J13</f>
        <v>0.6379869161065759</v>
      </c>
      <c r="C14" s="49"/>
      <c r="D14" s="11" t="s">
        <v>42</v>
      </c>
      <c r="F14" s="22">
        <f>G6*(D6*B14-D7/2*SIN(2*B14)+D8/4*SIN(4*B14)-D9/6*SIN(6*B14)+D10/8*SIN(8*B14))</f>
        <v>4047077.635003887</v>
      </c>
      <c r="G14" s="11" t="s">
        <v>81</v>
      </c>
      <c r="H14" s="24">
        <f>B10-F14</f>
        <v>5.013449117541313E-05</v>
      </c>
      <c r="I14" s="11" t="s">
        <v>85</v>
      </c>
      <c r="J14">
        <f>H14/G7</f>
        <v>7.873305810706143E-12</v>
      </c>
    </row>
    <row r="15" spans="1:10" ht="12.75">
      <c r="A15" s="11" t="s">
        <v>43</v>
      </c>
      <c r="B15" s="60">
        <f>B14+J14</f>
        <v>0.6379869161144491</v>
      </c>
      <c r="C15" s="49"/>
      <c r="D15" s="11" t="s">
        <v>83</v>
      </c>
      <c r="F15" s="22">
        <f>G6*(D6*B15-D7/2*SIN(2*B15)+D8/4*SIN(4*B15)-D9/6*SIN(6*B15)+D10/8*SIN(8*B15))</f>
        <v>4047077.6350539476</v>
      </c>
      <c r="G15" s="11" t="s">
        <v>82</v>
      </c>
      <c r="H15" s="24">
        <f>B10-F15</f>
        <v>7.404014468193054E-08</v>
      </c>
      <c r="I15" s="11" t="s">
        <v>86</v>
      </c>
      <c r="J15">
        <f>H15/G7</f>
        <v>1.1627538001934525E-14</v>
      </c>
    </row>
    <row r="16" spans="1:3" ht="12.75">
      <c r="A16" s="11" t="s">
        <v>43</v>
      </c>
      <c r="B16" s="60">
        <f>B15+J15</f>
        <v>0.6379869161144608</v>
      </c>
      <c r="C16" s="49"/>
    </row>
    <row r="17" spans="1:3" ht="12.75">
      <c r="A17" s="11" t="s">
        <v>9</v>
      </c>
      <c r="B17" s="1">
        <f>SIN(B16)</f>
        <v>0.5955795463392592</v>
      </c>
      <c r="C17" s="49"/>
    </row>
    <row r="18" spans="1:3" ht="12.75">
      <c r="A18" s="11" t="s">
        <v>8</v>
      </c>
      <c r="B18" s="1">
        <f>COS(B16)</f>
        <v>0.8032963363431469</v>
      </c>
      <c r="C18" s="49"/>
    </row>
    <row r="19" spans="1:3" ht="12.75">
      <c r="A19" s="11" t="s">
        <v>22</v>
      </c>
      <c r="B19" s="1">
        <f>TAN(B16)</f>
        <v>0.7414194729811932</v>
      </c>
      <c r="C19" s="49"/>
    </row>
    <row r="20" spans="1:3" ht="12.75">
      <c r="A20" s="11" t="s">
        <v>3</v>
      </c>
      <c r="B20" s="23">
        <f>B6/SQRT(1-B8*POWER(B17,2))</f>
        <v>6386006.682177844</v>
      </c>
      <c r="C20" s="49"/>
    </row>
    <row r="21" spans="1:12" ht="12.75">
      <c r="A21" s="11" t="s">
        <v>44</v>
      </c>
      <c r="B21" s="1">
        <f>B8/(1-B8)</f>
        <v>0.00676817019722425</v>
      </c>
      <c r="C21" s="49"/>
      <c r="L21" s="27"/>
    </row>
    <row r="22" spans="1:12" ht="12.75">
      <c r="A22" s="11" t="s">
        <v>45</v>
      </c>
      <c r="B22" s="1">
        <f>B21*B18*B18</f>
        <v>0.0043673987326688845</v>
      </c>
      <c r="C22" s="49"/>
      <c r="G22" s="35"/>
      <c r="H22" s="35"/>
      <c r="I22" s="1"/>
      <c r="J22" s="7"/>
      <c r="K22" s="36"/>
      <c r="L22" s="27"/>
    </row>
    <row r="23" spans="1:11" ht="12.75">
      <c r="A23" s="11" t="s">
        <v>46</v>
      </c>
      <c r="B23" s="28">
        <f>1/B20/B18</f>
        <v>1.949372544790128E-07</v>
      </c>
      <c r="C23" s="48" t="s">
        <v>60</v>
      </c>
      <c r="D23">
        <f>IF(C4=31,3*PI()/180,IF(C4=30,-3*PI()/180,IF(C4=29,-9*PI()/180,IF(C4=28,-15*PI()/180,-21*PI()/180))))</f>
        <v>-0.15707963267948966</v>
      </c>
      <c r="E23">
        <f>D23*180/PI()</f>
        <v>-9</v>
      </c>
      <c r="G23" s="35"/>
      <c r="H23" s="35"/>
      <c r="I23" s="1"/>
      <c r="J23" s="7"/>
      <c r="K23" s="36"/>
    </row>
    <row r="24" spans="1:11" ht="12.75">
      <c r="A24" s="11" t="s">
        <v>48</v>
      </c>
      <c r="B24" s="28">
        <f>(1+2*B19*B19+B22)/6/B20/B20/B20/B18</f>
        <v>1.6760375665584693E-21</v>
      </c>
      <c r="C24" s="48" t="s">
        <v>55</v>
      </c>
      <c r="D24">
        <f>B23*(B9/G8)-B24*POWER((B9/G8),3)+B25*POWER((B9/G8),5)</f>
        <v>0.04742429057429195</v>
      </c>
      <c r="G24" s="35"/>
      <c r="H24" s="35"/>
      <c r="I24" s="35"/>
      <c r="J24" s="7"/>
      <c r="K24" s="36"/>
    </row>
    <row r="25" spans="1:6" ht="12.75">
      <c r="A25" s="11" t="s">
        <v>49</v>
      </c>
      <c r="B25" s="28">
        <f>(5+28*B19*B19+24*B19*B19*B19*B19+6*B22+8*B22*B19*B19)/120/POWER(B20,5)/B18</f>
        <v>2.7046263097160856E-35</v>
      </c>
      <c r="C25" s="48" t="s">
        <v>61</v>
      </c>
      <c r="D25">
        <f>D23+D24</f>
        <v>-0.1096553421051977</v>
      </c>
      <c r="F25">
        <f>D25*180/PI()</f>
        <v>-6.28278830369102</v>
      </c>
    </row>
    <row r="26" spans="1:12" ht="12.75">
      <c r="A26" s="11" t="s">
        <v>5</v>
      </c>
      <c r="B26" s="1">
        <f>-POWER((B9/G8),2)*B19*(1+B22)/2/B20/B20</f>
        <v>-0.0005409062391377731</v>
      </c>
      <c r="C26" s="49"/>
      <c r="H26" s="44" t="s">
        <v>61</v>
      </c>
      <c r="I26" s="45">
        <f>INT(ABS(F25))</f>
        <v>6</v>
      </c>
      <c r="J26" s="41">
        <f>INT((ABS(F25)-INT(ABS(F25)))*60)</f>
        <v>16</v>
      </c>
      <c r="K26" s="46">
        <f>(((ABS(F25)-INT(ABS(F25)))*60)-J26)*60</f>
        <v>58.037893287671736</v>
      </c>
      <c r="L26" s="47" t="str">
        <f>IF(F25&lt;0,"W","E")</f>
        <v>W</v>
      </c>
    </row>
    <row r="27" spans="1:12" ht="12.75">
      <c r="A27" s="11" t="s">
        <v>6</v>
      </c>
      <c r="B27" s="1">
        <f>POWER((B9/G8),4)*B19*(5+3*POWER(B19,3)+6*B22*(1-B19*B19)-3*B22*B22*(1+3*B19*B19))/24/POWER(B20,4)</f>
        <v>4.0647446579149094E-07</v>
      </c>
      <c r="C27" s="48" t="s">
        <v>51</v>
      </c>
      <c r="D27" s="1">
        <f>B26+B27+B28</f>
        <v>-0.0005404998440580087</v>
      </c>
      <c r="H27" s="44" t="s">
        <v>52</v>
      </c>
      <c r="I27" s="45">
        <f>INT(ABS(F28))</f>
        <v>36</v>
      </c>
      <c r="J27" s="41">
        <f>INT((ABS(F28)-INT(ABS(F28)))*60)</f>
        <v>31</v>
      </c>
      <c r="K27" s="46">
        <f>((ABS(F28-INT(F28)))*60-J27)*60</f>
        <v>22.761544920558094</v>
      </c>
      <c r="L27" s="47" t="str">
        <f>IF(F28&gt;0,"N","S")</f>
        <v>N</v>
      </c>
    </row>
    <row r="28" spans="1:6" ht="12.75">
      <c r="A28" s="11" t="s">
        <v>7</v>
      </c>
      <c r="B28" s="1">
        <f>-POWER((B9/G8),6)*B19*(61-90*POWER(B19,2)+45*POWER(B19,4)+B22*(107-162*B19*B19-45*POWER(B19,4)))/720/POWER(B20,6)</f>
        <v>-7.938602701186049E-11</v>
      </c>
      <c r="C28" s="48" t="s">
        <v>52</v>
      </c>
      <c r="D28" s="1">
        <f>B16+D27</f>
        <v>0.6374464162704028</v>
      </c>
      <c r="F28">
        <f>D28*180/PI()</f>
        <v>36.52298931803349</v>
      </c>
    </row>
    <row r="29" spans="1:2" ht="12.75">
      <c r="A29" s="11"/>
      <c r="B29" s="2"/>
    </row>
    <row r="32" spans="1:2" ht="12.75">
      <c r="A32" s="33" t="s">
        <v>62</v>
      </c>
      <c r="B32" s="34"/>
    </row>
    <row r="33" spans="1:2" ht="12.75">
      <c r="A33" s="11" t="s">
        <v>47</v>
      </c>
      <c r="B33" s="28">
        <f>B19/2/B20/B20/B18</f>
        <v>1.1316170157133367E-14</v>
      </c>
    </row>
    <row r="34" spans="1:2" ht="12.75">
      <c r="A34" s="11" t="s">
        <v>53</v>
      </c>
      <c r="B34" s="28">
        <f>B19*(5+6*B19*B19+B22-4*B22*B22)/24/POWER(B20,4)/B18</f>
        <v>1.9198566145324932E-28</v>
      </c>
    </row>
    <row r="35" spans="1:2" ht="12.75">
      <c r="A35" s="11" t="s">
        <v>54</v>
      </c>
      <c r="B35" s="28">
        <f>B19*(61+180*B19*B19+120*B19*B19*B19*B19+46*B22+48*B22*B19*B19)/720/POWER(B20,6)/B18</f>
        <v>3.714444167022187E-42</v>
      </c>
    </row>
    <row r="36" spans="1:2" ht="12.75">
      <c r="A36" s="11"/>
      <c r="B36" s="2"/>
    </row>
    <row r="100" spans="1:3" ht="12.75">
      <c r="A100" t="s">
        <v>67</v>
      </c>
      <c r="C100">
        <v>31</v>
      </c>
    </row>
    <row r="101" spans="1:3" ht="12.75">
      <c r="A101" t="s">
        <v>28</v>
      </c>
      <c r="C101">
        <v>30</v>
      </c>
    </row>
    <row r="102" ht="12.75">
      <c r="C102">
        <v>29</v>
      </c>
    </row>
    <row r="103" ht="12.75">
      <c r="C103">
        <v>28</v>
      </c>
    </row>
    <row r="104" ht="12.75">
      <c r="C104">
        <v>27</v>
      </c>
    </row>
  </sheetData>
  <sheetProtection/>
  <dataValidations count="2">
    <dataValidation type="list" allowBlank="1" showInputMessage="1" showErrorMessage="1" sqref="C3">
      <formula1>A100:A101</formula1>
    </dataValidation>
    <dataValidation type="list" allowBlank="1" showInputMessage="1" showErrorMessage="1" sqref="C4">
      <formula1>C100:C104</formula1>
    </dataValidation>
  </dataValidations>
  <printOptions/>
  <pageMargins left="0.75" right="0.75" top="1" bottom="1" header="0" footer="0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JEFESERVICIO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Casa</cp:lastModifiedBy>
  <cp:lastPrinted>2004-03-30T19:47:10Z</cp:lastPrinted>
  <dcterms:created xsi:type="dcterms:W3CDTF">2004-02-05T20:08:35Z</dcterms:created>
  <dcterms:modified xsi:type="dcterms:W3CDTF">2013-11-16T20:00:54Z</dcterms:modified>
  <cp:category/>
  <cp:version/>
  <cp:contentType/>
  <cp:contentStatus/>
</cp:coreProperties>
</file>